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850" windowWidth="15480" windowHeight="8760" activeTab="0"/>
  </bookViews>
  <sheets>
    <sheet name="Лист1" sheetId="1" r:id="rId1"/>
    <sheet name="Лист2" sheetId="2" r:id="rId2"/>
  </sheets>
  <definedNames>
    <definedName name="_xlnm.Print_Titles" localSheetId="0">'Лист1'!$7:$7</definedName>
    <definedName name="_xlnm.Print_Area" localSheetId="0">'Лист1'!$A$1:$P$796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B429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</text>
    </comment>
    <comment ref="B432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</text>
    </comment>
    <comment ref="B435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<sst xmlns="http://schemas.openxmlformats.org/spreadsheetml/2006/main" count="3493" uniqueCount="1344">
  <si>
    <t>Подпрограмма "Вовлечение молодёжи Большеулуйского района в социальную практику"</t>
  </si>
  <si>
    <t>Проведение аттестации автоматизированных систем для обеспечения безопасности информации, составляющей государственную тайну в рамках подпрограммы «Обеспечение предупреждения возникновения и развития чрезвычайных ситуаций природного и техногенного характера, снижение ущерба и потерь от чрезвычайных ситуаций муниципального характера» муниципальной программы Большеулуйского района «Защита населения и территории Большеулуйского района от чрезвычайных ситуаций природного и техногенного характера»</t>
  </si>
  <si>
    <t>Подпрограмма "Организация обучения населения в области гражданской обороны, защиты от чрезвычайных ситуаций природного и техногенного характера, информирование населения о мерах пожарной безопасности"</t>
  </si>
  <si>
    <t>Подпрограмма "Патриотическое  воспитание молодёжи Большеулуйского района "</t>
  </si>
  <si>
    <t>Монтаж видеонаблюдения в рамках подпрограммы «О мерах противодействию терроризму и экстремизму» муниципальной программы Большеулуйского района «Защита населения и территории Большеулуйского района от чрезвычайных ситуаций природного и техногенного характера»</t>
  </si>
  <si>
    <t>Предоставление субсидий организациям автомобильного пассажирского транспорта района на компенсацию расходов, возникающих в результате небольшой интенсивности пассажиропотоков по муниципальным, пригородным и междугородним (внутрирайонным) маршрутам, в рамках подпрограммы «Развитие транспортного комплекса» муниципальной программы Большеулуйского района «Развитие транспортной  системы»</t>
  </si>
  <si>
    <t>Субсидии юридическим лицам (кроме некоммерческих организаций), индивидуальным предпринимателям, физическим лицам</t>
  </si>
  <si>
    <t>240</t>
  </si>
  <si>
    <t>Вид расходов</t>
  </si>
  <si>
    <t>1000</t>
  </si>
  <si>
    <t>Всего</t>
  </si>
  <si>
    <t>200</t>
  </si>
  <si>
    <t>Раздел, подраздел</t>
  </si>
  <si>
    <t>9</t>
  </si>
  <si>
    <t>Межбюджетные трансферты</t>
  </si>
  <si>
    <t>Иные межбюджетные трансферты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</si>
  <si>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</si>
  <si>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</si>
  <si>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540</t>
  </si>
  <si>
    <t>500</t>
  </si>
  <si>
    <t>(тыс. рублей)</t>
  </si>
  <si>
    <t>№ строки</t>
  </si>
  <si>
    <t>Наименование главных распорядителей и наименование показателей бюджетной классификации</t>
  </si>
  <si>
    <t>Целевая статья</t>
  </si>
  <si>
    <t>1</t>
  </si>
  <si>
    <t>2</t>
  </si>
  <si>
    <t>4</t>
  </si>
  <si>
    <t>5</t>
  </si>
  <si>
    <t>6</t>
  </si>
  <si>
    <t>7</t>
  </si>
  <si>
    <t>8</t>
  </si>
  <si>
    <t>600</t>
  </si>
  <si>
    <t>610</t>
  </si>
  <si>
    <t>Субсидии бюджетным учреждениям</t>
  </si>
  <si>
    <t>1401</t>
  </si>
  <si>
    <t>Дотации</t>
  </si>
  <si>
    <t>510</t>
  </si>
  <si>
    <t>1301</t>
  </si>
  <si>
    <t>Обслуживание государственного (муниципального) долга</t>
  </si>
  <si>
    <t>Обслуживание муниципального долга</t>
  </si>
  <si>
    <t>730</t>
  </si>
  <si>
    <t>700</t>
  </si>
  <si>
    <t>Подпрограмма "Управление муниципальным долгом Большеулуйского района"</t>
  </si>
  <si>
    <t>0106</t>
  </si>
  <si>
    <t>100</t>
  </si>
  <si>
    <t>120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</si>
  <si>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</si>
  <si>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выплату персоналу казенных учреждений</t>
  </si>
  <si>
    <t>3</t>
  </si>
  <si>
    <t>10</t>
  </si>
  <si>
    <t>11</t>
  </si>
  <si>
    <t>105</t>
  </si>
  <si>
    <t>106</t>
  </si>
  <si>
    <t>107</t>
  </si>
  <si>
    <t>121</t>
  </si>
  <si>
    <t>122</t>
  </si>
  <si>
    <t>123</t>
  </si>
  <si>
    <t>124</t>
  </si>
  <si>
    <t>128</t>
  </si>
  <si>
    <t>138</t>
  </si>
  <si>
    <t>142</t>
  </si>
  <si>
    <t>143</t>
  </si>
  <si>
    <t>144</t>
  </si>
  <si>
    <t>145</t>
  </si>
  <si>
    <t>174</t>
  </si>
  <si>
    <t>184</t>
  </si>
  <si>
    <t>185</t>
  </si>
  <si>
    <t>186</t>
  </si>
  <si>
    <t>205</t>
  </si>
  <si>
    <t>206</t>
  </si>
  <si>
    <t>207</t>
  </si>
  <si>
    <t>208</t>
  </si>
  <si>
    <t>209</t>
  </si>
  <si>
    <t>220</t>
  </si>
  <si>
    <t>221</t>
  </si>
  <si>
    <t>222</t>
  </si>
  <si>
    <t>223</t>
  </si>
  <si>
    <t>224</t>
  </si>
  <si>
    <t>225</t>
  </si>
  <si>
    <t>226</t>
  </si>
  <si>
    <t>305</t>
  </si>
  <si>
    <t>306</t>
  </si>
  <si>
    <t>318</t>
  </si>
  <si>
    <t>319</t>
  </si>
  <si>
    <t>324</t>
  </si>
  <si>
    <t>325</t>
  </si>
  <si>
    <t>326</t>
  </si>
  <si>
    <t>327</t>
  </si>
  <si>
    <t>328</t>
  </si>
  <si>
    <t>340</t>
  </si>
  <si>
    <t>348</t>
  </si>
  <si>
    <t>349</t>
  </si>
  <si>
    <t>350</t>
  </si>
  <si>
    <t>351</t>
  </si>
  <si>
    <t>352</t>
  </si>
  <si>
    <t>353</t>
  </si>
  <si>
    <t>354</t>
  </si>
  <si>
    <t>363</t>
  </si>
  <si>
    <t>364</t>
  </si>
  <si>
    <t>365</t>
  </si>
  <si>
    <t>384</t>
  </si>
  <si>
    <t>400</t>
  </si>
  <si>
    <t>401</t>
  </si>
  <si>
    <t>402</t>
  </si>
  <si>
    <t>403</t>
  </si>
  <si>
    <t>404</t>
  </si>
  <si>
    <t>410</t>
  </si>
  <si>
    <t>420</t>
  </si>
  <si>
    <t>445</t>
  </si>
  <si>
    <t>449</t>
  </si>
  <si>
    <t>450</t>
  </si>
  <si>
    <t>492</t>
  </si>
  <si>
    <t>Подпрограмма "Инвентаризация объектов недвижимого имущества"</t>
  </si>
  <si>
    <t>Подпрограмма "Обеспечение жильём молодых семей в Большеулуйском районе"</t>
  </si>
  <si>
    <t>0102</t>
  </si>
  <si>
    <t xml:space="preserve">Функционирование Большеулуйского районного Совета депутатов </t>
  </si>
  <si>
    <t>Председатель представительного органа местного самоуправления муниципального района в рамках непрограммных расходов представительного органа власти</t>
  </si>
  <si>
    <t>Депутаты представительного органа местного самоуправления в рамках непрограммных расходов  представительного органа власти</t>
  </si>
  <si>
    <t>Руководство и управление в сфере установленных функций органов местного самоуправления в рамках непрограммных расходов представительного органа власти</t>
  </si>
  <si>
    <t>Иные бюджетные ассигнования</t>
  </si>
  <si>
    <t>Уплата налогов, сборов и иных платежей</t>
  </si>
  <si>
    <t>0103</t>
  </si>
  <si>
    <t>800</t>
  </si>
  <si>
    <t>850</t>
  </si>
  <si>
    <t>Подпрограмма "Обеспечение условий реализации программы и прочие мероприятия"</t>
  </si>
  <si>
    <t>1102</t>
  </si>
  <si>
    <t>Подпрограмма "Развитие массовой физической культуры и спорта"</t>
  </si>
  <si>
    <t>Подпрограмма «Развитие кадрового потенциала отрасли»</t>
  </si>
  <si>
    <t>110</t>
  </si>
  <si>
    <t>0113</t>
  </si>
  <si>
    <t>Расходы на выплату персоналу государственных (муниципальных) органов</t>
  </si>
  <si>
    <t>Руководство и управление в сфере установленных функций, в рамках подпрограммы «Обеспечение реализации муниципальной программы и прочие мероприятия» муниципальной программы Большеулуйского района «Управление муниципальными финансами»</t>
  </si>
  <si>
    <t>Непрограммные расходы отдельных органов исполнительной власти</t>
  </si>
  <si>
    <t>Функционирование администрации Большеулуйского района</t>
  </si>
  <si>
    <t>Руководство и управление в сфере установленных функций органов местного самоуправления в рамках непрограммных расходов отдельных органов исполнительной власти</t>
  </si>
  <si>
    <t>0104</t>
  </si>
  <si>
    <t>Резервные фонды исполнительных органов местного самоуправления по Администрации Большеулуйского района в рамках непрограммных расходов отдельных органов исполнительной власти</t>
  </si>
  <si>
    <t>Резервные средства</t>
  </si>
  <si>
    <t>0111</t>
  </si>
  <si>
    <t>870</t>
  </si>
  <si>
    <t>Подпрограмма "Развитие архивного дела в Большеулуйском районе"</t>
  </si>
  <si>
    <t>Организация деятельности районных методических объединений, методических советов. Обеспечение системы переподготовки и повышения квалификации педагогов через семинары, круглые столы, педагогические чтения и др. в рамках подпрограммы «Развитие кадрового потенциала отрасли» муниципальной программы «Развитие образования Большеулуйского района»</t>
  </si>
  <si>
    <t>Награждение лучших учителей за высокие показатели в учебно-воспитательном процессе и внедрение инновационных технологий в обучении школьников в рамках подпрограммы «Развитие кадрового потенциала отрасли» муниципальной программы «Развитие образования Большеулуйского района»</t>
  </si>
  <si>
    <t>Функционирование финансового отдела администрации Большеулуйского района</t>
  </si>
  <si>
    <t>Субвенции бюджетам муниципальных образований района на выполнение государственных полномочий по созданию и обеспечению деятельности административных комиссий в рамках непрограммных расходов отдельных органов исполнительной власти</t>
  </si>
  <si>
    <t>Субвенции</t>
  </si>
  <si>
    <t>530</t>
  </si>
  <si>
    <t>Субвенции бюджетам муниципальных образований района на осуществление первичного воинского учета на территориях, где отсутствуют военные комиссариаты в рамках непрограммных расходов отдельных органов исполнительной власти</t>
  </si>
  <si>
    <t>0203</t>
  </si>
  <si>
    <t>1003</t>
  </si>
  <si>
    <t>Социальные выплаты гражданам, кроме публичных нормативных социальных выплат</t>
  </si>
  <si>
    <t>320</t>
  </si>
  <si>
    <t>1004</t>
  </si>
  <si>
    <t>0505</t>
  </si>
  <si>
    <t>Подпрограмма «Обеспечение реализации муниципальной программы и прочие мероприятия»</t>
  </si>
  <si>
    <t>Муниципальная программа "Защита населения и территории Большеулуйского района от чрезвычайных ситуаций природного и техногенного характера"</t>
  </si>
  <si>
    <t>Подпрограмма "Обеспечение предупреждения возникновения и развития чрезвычайных ситуаций природного и техногенного характера, снижение ущерба и потерь от чрезвычайных ситуаций муниципального характера"</t>
  </si>
  <si>
    <t>Чернение льда на затопленных участках р.Чулым, в рамках подпрограммы «Обеспечение предупреждения возникновения и развития чрезвычайных ситуаций природного и техногенного характера, снижение ущерба и потерь от чрезвычайных ситуаций муниципального характера» муниципальной программы Большеулуйского района «Защита населения и территории Большеулуйского района от чрезвычайных ситуаций природного и техногенного характера»</t>
  </si>
  <si>
    <t>0408</t>
  </si>
  <si>
    <t>810</t>
  </si>
  <si>
    <t>0412</t>
  </si>
  <si>
    <t>Муниципальная программа Большеулуйского района «Развитие образования Большеулуйского района»</t>
  </si>
  <si>
    <t>Предоставление субсидий бюджетным, автономным учреждениям и иным некоммерческим организациям</t>
  </si>
  <si>
    <t>0700</t>
  </si>
  <si>
    <t>0701</t>
  </si>
  <si>
    <t>Обслуживание и ремонт имеющейся аппаратуры системы централизованного оповещения ГО (АСЦО) населения Большеулуйского района в рамках подпрограммы   «Организация обучения населения в области гражданской обороны, защиты от чрезвычайных ситуаций природного и техногенного характера, информирование населения о мерах пожарной безопасности» муниципальной программы Большеулуйского района «Защита населения и территории Большеулуйского района от чрезвычайных ситуаций природного и техногенного характера»</t>
  </si>
  <si>
    <t>Подпрограмма "О мерах противодействию терроризму и экстремизму"</t>
  </si>
  <si>
    <t>0309</t>
  </si>
  <si>
    <t>0314</t>
  </si>
  <si>
    <t>Подпрограмма "Поддержка субъектов малого и среднего предпринимательства"</t>
  </si>
  <si>
    <t>Подпрограмма "Обеспечение реализации муниципальной программы"</t>
  </si>
  <si>
    <t>Условно утвержденные расходы</t>
  </si>
  <si>
    <t>0702</t>
  </si>
  <si>
    <t>0502</t>
  </si>
  <si>
    <t>Подпрограмма "Формирование и постановка на государственный кадастровый учёт земельных участков"</t>
  </si>
  <si>
    <t>0801</t>
  </si>
  <si>
    <t>Подпрограмма "Культурное наследие Большеулуйского района"</t>
  </si>
  <si>
    <t>0707</t>
  </si>
  <si>
    <t>0709</t>
  </si>
  <si>
    <t>Подпрограмма "Создание условий для эффективного и ответственного управления муниципальными финансами, повышение устойчивости бюджетов поселений Большеулуйского района"</t>
  </si>
  <si>
    <t>Подпрограмма "Искусство и народное творчество Большеулуйского района"</t>
  </si>
  <si>
    <t>0909</t>
  </si>
  <si>
    <t>1001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</si>
  <si>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</si>
  <si>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</si>
  <si>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</si>
  <si>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</si>
  <si>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0200000000</t>
  </si>
  <si>
    <t>0220000000</t>
  </si>
  <si>
    <t>0220074090</t>
  </si>
  <si>
    <t>0220075640</t>
  </si>
  <si>
    <t>0220074080</t>
  </si>
  <si>
    <t>0220075880</t>
  </si>
  <si>
    <t>0230000000</t>
  </si>
  <si>
    <t>0240000000</t>
  </si>
  <si>
    <t>0240075520</t>
  </si>
  <si>
    <t>0220075540</t>
  </si>
  <si>
    <t>0220075660</t>
  </si>
  <si>
    <t>0220075560</t>
  </si>
  <si>
    <t>0250000000</t>
  </si>
  <si>
    <t>0250000980</t>
  </si>
  <si>
    <t>0250000990</t>
  </si>
  <si>
    <t>Расходы на выплаты персоналу государственных (муниципальных) органов</t>
  </si>
  <si>
    <t>0400000000</t>
  </si>
  <si>
    <t>0410000000</t>
  </si>
  <si>
    <t>0450000000</t>
  </si>
  <si>
    <t>0450000980</t>
  </si>
  <si>
    <t>0490000000</t>
  </si>
  <si>
    <t>0490075700</t>
  </si>
  <si>
    <t>Отдельные мероприятия</t>
  </si>
  <si>
    <t>0500000000</t>
  </si>
  <si>
    <t>0510000000</t>
  </si>
  <si>
    <t>Подпрограмма "Обеспечение профилактики и тушения пожаров в Большеулуйском районе"</t>
  </si>
  <si>
    <t>0520000000</t>
  </si>
  <si>
    <t>0530000000</t>
  </si>
  <si>
    <t>0540000000</t>
  </si>
  <si>
    <t>0840000000</t>
  </si>
  <si>
    <t>0830000000</t>
  </si>
  <si>
    <t>0830075190</t>
  </si>
  <si>
    <t>0800000000</t>
  </si>
  <si>
    <t>0810000000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</si>
  <si>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в рамках подпрограммы   «Культурное наследие Большеулуйского района» муниципальной программы Большеулуйского района «Развитие культуры Большеулуйского района»</t>
  </si>
  <si>
    <t>0820000000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</si>
  <si>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в рамках подпрограммы   «Искусство и народное творчество Большеулуйского района» муниципальной программы Большеулуйского района «Развитие культуры Большеулуйского района»</t>
  </si>
  <si>
    <t>0900000000</t>
  </si>
  <si>
    <t>0910000000</t>
  </si>
  <si>
    <t>1000000000</t>
  </si>
  <si>
    <t>1010000000</t>
  </si>
  <si>
    <t>1020000000</t>
  </si>
  <si>
    <t>1030000000</t>
  </si>
  <si>
    <t>1100000000</t>
  </si>
  <si>
    <t>1120000000</t>
  </si>
  <si>
    <t>1200000000</t>
  </si>
  <si>
    <t>1220000000</t>
  </si>
  <si>
    <t>1400000000</t>
  </si>
  <si>
    <t>1410000000</t>
  </si>
  <si>
    <t>1800000000</t>
  </si>
  <si>
    <t>1810000000</t>
  </si>
  <si>
    <t>1810076010</t>
  </si>
  <si>
    <t>1820000000</t>
  </si>
  <si>
    <t>1830000000</t>
  </si>
  <si>
    <t>1830000980</t>
  </si>
  <si>
    <t>1840000000</t>
  </si>
  <si>
    <t>1840000990</t>
  </si>
  <si>
    <t>1900000000</t>
  </si>
  <si>
    <t>1910000000</t>
  </si>
  <si>
    <t>1930000000</t>
  </si>
  <si>
    <t>Взносы на капитальный ремонт общего имущества многоквартирных домов</t>
  </si>
  <si>
    <t>9500000000</t>
  </si>
  <si>
    <t>9510000000</t>
  </si>
  <si>
    <t>9510000990</t>
  </si>
  <si>
    <t>9600000000</t>
  </si>
  <si>
    <t>9610000000</t>
  </si>
  <si>
    <t>9610000910</t>
  </si>
  <si>
    <t>9610000990</t>
  </si>
  <si>
    <t>9610000920</t>
  </si>
  <si>
    <t>9610074290</t>
  </si>
  <si>
    <t>9610076040</t>
  </si>
  <si>
    <t>9620000000</t>
  </si>
  <si>
    <t>9620075140</t>
  </si>
  <si>
    <t>9620051180</t>
  </si>
  <si>
    <t>9620075550</t>
  </si>
  <si>
    <t>9700000000</t>
  </si>
  <si>
    <t>9710000000</t>
  </si>
  <si>
    <t>9710000990</t>
  </si>
  <si>
    <t xml:space="preserve">Непрограммные мероприятия контрольно-счётного органа </t>
  </si>
  <si>
    <t>Функционирование Контрольно-счётного органа Большеулуйского района</t>
  </si>
  <si>
    <t xml:space="preserve">Руководство и управление в сфере установленных функций контрольно-счётного органа местного самоуправления в рамках непрограммных расходов </t>
  </si>
  <si>
    <t>71</t>
  </si>
  <si>
    <t>72</t>
  </si>
  <si>
    <t>73</t>
  </si>
  <si>
    <t>74</t>
  </si>
  <si>
    <t>75</t>
  </si>
  <si>
    <t>86</t>
  </si>
  <si>
    <t>90</t>
  </si>
  <si>
    <t>91</t>
  </si>
  <si>
    <t>92</t>
  </si>
  <si>
    <t>93</t>
  </si>
  <si>
    <t>96</t>
  </si>
  <si>
    <t>97</t>
  </si>
  <si>
    <t>98</t>
  </si>
  <si>
    <t>153</t>
  </si>
  <si>
    <t>154</t>
  </si>
  <si>
    <t>155</t>
  </si>
  <si>
    <t>156</t>
  </si>
  <si>
    <t>157</t>
  </si>
  <si>
    <t>163</t>
  </si>
  <si>
    <t>164</t>
  </si>
  <si>
    <t>165</t>
  </si>
  <si>
    <t>166</t>
  </si>
  <si>
    <t>167</t>
  </si>
  <si>
    <t>170</t>
  </si>
  <si>
    <t>171</t>
  </si>
  <si>
    <t>293</t>
  </si>
  <si>
    <t>421</t>
  </si>
  <si>
    <t>430</t>
  </si>
  <si>
    <t>506</t>
  </si>
  <si>
    <t>507</t>
  </si>
  <si>
    <t>508</t>
  </si>
  <si>
    <t>509</t>
  </si>
  <si>
    <t>514</t>
  </si>
  <si>
    <t>515</t>
  </si>
  <si>
    <t>516</t>
  </si>
  <si>
    <t>517</t>
  </si>
  <si>
    <t>518</t>
  </si>
  <si>
    <t>519</t>
  </si>
  <si>
    <t>523</t>
  </si>
  <si>
    <t xml:space="preserve">Муниципальная программа Большеулуйского района "Управление муниципальными финансами" </t>
  </si>
  <si>
    <t xml:space="preserve">Подпрограмма "Обеспечение реализации муниципальной программы и прочие мероприятия" </t>
  </si>
  <si>
    <t>Муниципальная программа Большеулуйского района "Эффективное управление муниципальным имуществом и земельными отношениями"</t>
  </si>
  <si>
    <t>Оформление технической документации на объекты муниципальной собственности и объекты, принимаемые в муниципальную собственность, в рамках подпрограммы «Инвентаризация объектов недвижимого имущества» муниципальной программы Большеулуйского района «Эффективное управление муниципальным имуществом и земельными отношениями "</t>
  </si>
  <si>
    <t>Руководство и управление в сфере установленных функций, в рамках подпрограммы «Обеспечение реализации муниципальной программы и прочие мероприятия» муниципальной программы Большеулуйского района «Эффективное управление муниципальным имуществом и земельными отношениями »</t>
  </si>
  <si>
    <t>Муниципальная программа "Развитие сельского хозяйства и регулирование рынков сельскохозяйственной продукции, сырья и продовольствия в Большеулуйском районе"</t>
  </si>
  <si>
    <t>Организация и поддержка районных конкурсов профессионального мастерства, в рамках подпрограммы «Вовлечение молодёжи Большеулуйского района в социальную практику» муниципальной программы  «Молодёжь Большеулуйского района »</t>
  </si>
  <si>
    <t>Муниципальная программа "Молодёжь Большеулуйского района"</t>
  </si>
  <si>
    <t>Проведение районных спортивно-массовых мероприятий, в рамках подпрограммы «Развитие массовой физической культуры и спорта» муниципальной программы Большеулуйского района «Развитие физической культуры, спорта в Большеулуйском районе Красноярского края»</t>
  </si>
  <si>
    <t>Муниципальная программа "Развитие физической культуры, спорта в Большеулуйском районе Красноярского края"</t>
  </si>
  <si>
    <t xml:space="preserve">Муниципальная программа Большеулуйского района "Развитие культуры Большеулуйского района" </t>
  </si>
  <si>
    <t>Муниципальная программа Большеулуйского района «Реформирование и модернизация жилищно-коммунального хозяйства и повышение энергетической эффективности в Большеулуйском районе»</t>
  </si>
  <si>
    <t>Подпрограмма "Развитие и модернизация объектов коммунальной инфраструктуры Большеулуйского района"</t>
  </si>
  <si>
    <t>0405</t>
  </si>
  <si>
    <t>546</t>
  </si>
  <si>
    <t xml:space="preserve">Подпрограмма "Развитие транспортного комплекса" </t>
  </si>
  <si>
    <t>85</t>
  </si>
  <si>
    <t>108</t>
  </si>
  <si>
    <t>109</t>
  </si>
  <si>
    <t>137</t>
  </si>
  <si>
    <t>172</t>
  </si>
  <si>
    <t>173</t>
  </si>
  <si>
    <t>182</t>
  </si>
  <si>
    <t>183</t>
  </si>
  <si>
    <t>193</t>
  </si>
  <si>
    <t>210</t>
  </si>
  <si>
    <t>218</t>
  </si>
  <si>
    <t>219</t>
  </si>
  <si>
    <t>266</t>
  </si>
  <si>
    <t>355</t>
  </si>
  <si>
    <t>356</t>
  </si>
  <si>
    <t>357</t>
  </si>
  <si>
    <t>358</t>
  </si>
  <si>
    <t>359</t>
  </si>
  <si>
    <t>360</t>
  </si>
  <si>
    <t>361</t>
  </si>
  <si>
    <t>362</t>
  </si>
  <si>
    <t>382</t>
  </si>
  <si>
    <t>383</t>
  </si>
  <si>
    <t>397</t>
  </si>
  <si>
    <t>446</t>
  </si>
  <si>
    <t>447</t>
  </si>
  <si>
    <t>448</t>
  </si>
  <si>
    <t>493</t>
  </si>
  <si>
    <t>501</t>
  </si>
  <si>
    <t>502</t>
  </si>
  <si>
    <t>524</t>
  </si>
  <si>
    <t>526</t>
  </si>
  <si>
    <t>527</t>
  </si>
  <si>
    <t>531</t>
  </si>
  <si>
    <t>532</t>
  </si>
  <si>
    <t>533</t>
  </si>
  <si>
    <t>534</t>
  </si>
  <si>
    <t xml:space="preserve">Муниципальная программа "Развитие транспортной  системы" </t>
  </si>
  <si>
    <t>0703</t>
  </si>
  <si>
    <t>9610051200</t>
  </si>
  <si>
    <t>0105</t>
  </si>
  <si>
    <t>0220076490</t>
  </si>
  <si>
    <t>84</t>
  </si>
  <si>
    <t>125</t>
  </si>
  <si>
    <t>126</t>
  </si>
  <si>
    <t>127</t>
  </si>
  <si>
    <t>267</t>
  </si>
  <si>
    <t>268</t>
  </si>
  <si>
    <t>269</t>
  </si>
  <si>
    <t>317</t>
  </si>
  <si>
    <t>323</t>
  </si>
  <si>
    <t>344</t>
  </si>
  <si>
    <t>422</t>
  </si>
  <si>
    <t>423</t>
  </si>
  <si>
    <t>424</t>
  </si>
  <si>
    <t>425</t>
  </si>
  <si>
    <t>426</t>
  </si>
  <si>
    <t>525</t>
  </si>
  <si>
    <t>Финансовое обеспечение государственных гарантий прав граждан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обеспечения деятельности  административного и учебно-вспомогательного персонала муниципальных общеобразовательных организаций в рамках подпрограммы «Развитие дошкольного, общего и дополнительного образования детей» муниципальной программы «Развитие образования Большеулуйского района»</t>
  </si>
  <si>
    <t>Финансовое обеспечение государственных гарантий прав граждан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, за исключением обеспечения деятельности административного и учебно-вспомогательного персонала муниципальных общеобразовательных организаций в рамках подпрограммы «Развитие дошкольного, общего и дополнительного образования детей» муниципальной программы «Развитие образования Большеулуйского района»</t>
  </si>
  <si>
    <t>Финансовое обеспечение 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муниципальных общеобразовательных организациях, за исключением деятельности административного и учебно-вспомогательного персонала муниципальных дошкольных образовательных и общеобразовательных организаций, в рамках подпрограммы "Развитие дошкольного, общего и дополнительного образования детей" муниципальной программы  "Развитие образования Большеулуйского района"</t>
  </si>
  <si>
    <t>Финансовое обеспечение государственных полномочий в области архивного дела, переданных органам местного самоуправления Красноярского края в рамках подпрограммы «Развитие архивного дела в Большеулуйском районе» муниципальной программы Большеулуйского района  «Развитие культуры Большеулуйского района»</t>
  </si>
  <si>
    <t xml:space="preserve">Финансовое обеспечение отдельных государственных полномочий по решению вопросов поддержки сельскохозяйственного производства, в рамках подпрограммы  "Обеспечение реализации муниципальной программы", муниципальной программы "Развитие сельского хозяйства и регулирование рынков сельскохозяйственной продукции, сырья и продовольствия в Большеулуйском районе" </t>
  </si>
  <si>
    <t>Финансовое обеспечение на обслуживание муниципального долга Большеулуйского района, в рамках подпрограммы «Управление муниципальным долгом Большеулуйского района» муниципальной программы Большеулуйского района «Управление муниципальными финансами»</t>
  </si>
  <si>
    <t>Финансовое обеспечение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выполнением, в рамках непрограммных расходов отдельных органов исполнительной власти</t>
  </si>
  <si>
    <t>Финансовое обеспечение государственных полномочий по созданию и обеспечению деятельности комиссий по делам несовершеннолетних и защите их прав в рамках непрограммных расходов отдельных органов исполнительной власти</t>
  </si>
  <si>
    <t>1930000990</t>
  </si>
  <si>
    <t>Приобретение ПТВ для муниципальных пожарных постов и агитационных материалов по ПБ, в рамках подпрограммы "Обеспечение профилактики и тушения пожаров в Большеулуйском районе" муниципальной программы Большеулуйского района «Защита населения и территории Большеулуйского района от чрезвычайных ситуаций природного и техногенного характера»</t>
  </si>
  <si>
    <t>Приобретение информационных, методических материалов для детей и молодёжи, проведение занятий, лекций, в рамках подпрограммы «О мерах противодействию терроризму и экстремизму» муниципальной программы Большеулуйского района «Защита населения и территории Большеулуйского района от чрезвычайных ситуаций природного и техногенного характера»</t>
  </si>
  <si>
    <t>Проведение работ по формированию земельных участков, занимаемых объектами недвижимости, находящимися в муниципальной собственности, в рамках подпрограммы «Формирование и постановка на государственный кадастровый учёт земельных участков» муниципальной программы Большеулуйского района «Эффективное управление муниципальным имуществом и земельными отношениями»</t>
  </si>
  <si>
    <t>1920000000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</si>
  <si>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"Развитие и модернизация объектов коммунальной инфраструктуры Большеулуйского района " муниципальной программы «Реформирование и модернизация жилищно-коммунального хозяйства и повышение энергетической эффективности в Большеулуйском районе»</t>
  </si>
  <si>
    <t>10100S4560</t>
  </si>
  <si>
    <t>Организация временного трудоустройства несовершеннолетних граждан в возрасте от 14 до 18 лет, в свободное от учебы время, в рамках подпрограммы «Вовлечение молодёжи Большеулуйского района в социальную практику» муниципальной программы  «Молодёжь Большеулуйского района»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</si>
  <si>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«Вовлечение молодёжи Большеулуйского района в социальную практику» муниципальной программы  «Молодёжь Большеулуйского района »</t>
  </si>
  <si>
    <t>Проведение спортивно-патриотического мероприятия "За Сибирь", в рамках подпрограммы «Патриотическое  воспитание молодёжи Большеулуйского района» муниципальной программы  «Молодёжь Большеулуйского района»</t>
  </si>
  <si>
    <t>Проведение фестиваля - конкурса "Ты нужен России", в рамках подпрограммы «Патриотическое  воспитание молодёжи Большеулуйского района» муниципальной программы  «Молодёжь Большеулуйского района»</t>
  </si>
  <si>
    <t>Организация и проведение районных национальных праздников:"Янов день", "Сабантуй" в рамках подпрограммы   «Искусство и народное творчество Большеулуйского района» муниципальной программы Большеулуйского района «Развитие культуры Большеулуйского района»</t>
  </si>
  <si>
    <t>Организация и проведение творческих мастерских, лабораторий, мастер-классов, выставок, направленных на сохранение, возрождение, развитие народных промыслов в Большеулуйском районе  в рамках подпрограммы   «Искусство и народное творчество Большеулуйского района» муниципальной программы Большеулуйского района «Развитие культуры Большеулуйского района»</t>
  </si>
  <si>
    <t>Празднование Дня Победы в ВОВ 1941-1945гг, в рамках подпрограммы   «Искусство и народное творчество Большеулуйского района» муниципальной программы Большеулуйского района «Развитие культуры Большеулуйского района»</t>
  </si>
  <si>
    <t>Организация и проведение фестивалей народного, эстрадного, патриотического творчества, в рамках подпрограммы   «Искусство и народное творчество Большеулуйского района» муниципальной программы Большеулуйского района «Развитие культуры Большеулуйского района»</t>
  </si>
  <si>
    <t>Создание условий для закрепления педагогических кадров в образовательных учреждениях путём обеспечения социальной поддержки педагогов. Аренда жилой площади на территории района специалистов - педагогических работников (молодые специалисты, специалисты приехавшие в район из иных муниципалитетов). Единовременная денежная выплата молодым специалистам  в рамках подпрограммы «Развитие кадрового потенциала отрасли» муниципальной программы «Развитие образования Большеулуйского района»</t>
  </si>
  <si>
    <t>10300L4970</t>
  </si>
  <si>
    <t>547</t>
  </si>
  <si>
    <t>548</t>
  </si>
  <si>
    <t>549</t>
  </si>
  <si>
    <t>550</t>
  </si>
  <si>
    <t>551</t>
  </si>
  <si>
    <t>552</t>
  </si>
  <si>
    <t>553</t>
  </si>
  <si>
    <t>554</t>
  </si>
  <si>
    <t>555</t>
  </si>
  <si>
    <t>556</t>
  </si>
  <si>
    <t>563</t>
  </si>
  <si>
    <t>0500</t>
  </si>
  <si>
    <t>0300</t>
  </si>
  <si>
    <t>0800</t>
  </si>
  <si>
    <t>0100</t>
  </si>
  <si>
    <t>1100</t>
  </si>
  <si>
    <t>0400</t>
  </si>
  <si>
    <t>1400</t>
  </si>
  <si>
    <t>1300</t>
  </si>
  <si>
    <t>0200</t>
  </si>
  <si>
    <t>0900</t>
  </si>
  <si>
    <t xml:space="preserve">Подпрограмма "Дороги Большеулуйского района" </t>
  </si>
  <si>
    <t>0409</t>
  </si>
  <si>
    <t>1210000000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</si>
  <si>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Единой дежурной диспетчерской службы Администрации Большеулуйского района в рамках подпрограммы «Обеспечение предупреждения возникновения и развития чрезвычайных ситуаций природного и техногенного характера, снижение ущерба и потерь от чрезвычайных ситуаций муниципального характера» муниципальной программы Большеулуйского района «Защита населения и территории Большеулуйского района от чрезвычайных ситуаций природного и техногенного характера»</t>
  </si>
  <si>
    <t>1410075170</t>
  </si>
  <si>
    <t>1490000000</t>
  </si>
  <si>
    <t>1490075180</t>
  </si>
  <si>
    <t>0810010490</t>
  </si>
  <si>
    <t>0820010490</t>
  </si>
  <si>
    <t>Финансовое обеспечение мероприятий на комплектование книжных фондов библиотек  за счет средств краевого бюджета, в рамках подпрограммы «Обеспечение условий реализации программы и прочие мероприятия» муниципальной программы Большеулуйского района «Развитие культуры Большеулуйского района»</t>
  </si>
  <si>
    <t>Финансовое обеспечение мероприятий на комплектование книжных фондов библиотек  за счет средств районного бюджета, в рамках подпрограммы «Обеспечение условий реализации программы и прочие мероприятия» муниципальной программы Большеулуйского района «Развитие культуры Большеулуйского района»</t>
  </si>
  <si>
    <t>08400S4880</t>
  </si>
  <si>
    <t>0804</t>
  </si>
  <si>
    <t>Финансовое обеспечение мероприятий по проведение районных  семинаров, творческих лабораторий, мастер-классов с приглашением иногородних специалистов, в рамках подпрограммы "Обеспечение условий реализации программы и прочие мероприятия" муниципальной программы Большеулуйского района "Развитие культуры Большеулуйского района"</t>
  </si>
  <si>
    <t>Финансовое обеспечение мероприятий по проведение конкурса на лучшее учреждение культуры Большеулуйского района, в рамках подпрограммы "Обеспечение условий реализации программы и прочие мероприятия" муниципальной программы Большеулуйского района "Развитие культуры Большеулуйского района"</t>
  </si>
  <si>
    <t>Предоставление социальных выплат молодым семьям на приобретение (строительство жилья) за счёт средств районного бюджета , в рамках подпрограммы «Обеспечение жильём молодых семей в Большеулуйском районе» муниципальной программы  «Молодёжь Большеулуйского района »</t>
  </si>
  <si>
    <t>09100S4200</t>
  </si>
  <si>
    <t>Финансовое обеспечение мероприятий на устройство плоскостных спортивных сооружений в сельской местности за счет средств районного бюджета в рамках подпрограммы в рамках подпрограммы   "Развитие массовой физической культуры и спорта" муниципальной программы Большеулуйского района «Развитие физической культуры, спорта в Большеулуйском районе Красноярского края »</t>
  </si>
  <si>
    <t>02200S5630</t>
  </si>
  <si>
    <t>Финансовое обеспечение мероприятий направленных на развитие инфраструктуры общеобразовательных организаций за счет средств краевого бюджета в рамках подпрограммы «Развитие дошкольного, общего и дополнительного образования детей» муниципальной программы «Развитие образования Большеулуйского района»</t>
  </si>
  <si>
    <t>Финансовое обеспечение мероприятий направленных на развитие инфраструктуры общеобразовательных организаций за счет средств районного бюджета в рамках подпрограммы «Развитие дошкольного, общего и дополнительного образования детей» муниципальной программы «Развитие образования Большеулуйского района»</t>
  </si>
  <si>
    <t>02200S6490</t>
  </si>
  <si>
    <t>1810027220</t>
  </si>
  <si>
    <t>1402</t>
  </si>
  <si>
    <t>0510010490</t>
  </si>
  <si>
    <t>0410010490</t>
  </si>
  <si>
    <t>0840010490</t>
  </si>
  <si>
    <t>1010010490</t>
  </si>
  <si>
    <t>9610000950</t>
  </si>
  <si>
    <t>9610000930</t>
  </si>
  <si>
    <t>9610000940</t>
  </si>
  <si>
    <t>Возмещение расходов по пассажироперевозкам студентов в рамках непрограммных расходов отдельных органов исполнительной власти</t>
  </si>
  <si>
    <t>Выплаты почетным гражданам Большеулуйского района, в рамках непрограммных расходов отдельных органов исполнительной власти</t>
  </si>
  <si>
    <t>Предоставление пенсии за выслугу лет муниципальным служащим  в рамках непрограммных расходов отдельных органов исполнительной власти</t>
  </si>
  <si>
    <t>9610002890</t>
  </si>
  <si>
    <t>Финансовое обеспечение государственных полномочий по организации и осуществлению деятельности по опеке и попечительству в отношении совершеннолетних граждан, а также в сфере патронажа, в рамках непрограммных расходов отдельных органов исполнительной власти</t>
  </si>
  <si>
    <t>0910010490</t>
  </si>
  <si>
    <t>0220010490</t>
  </si>
  <si>
    <t>0250010490</t>
  </si>
  <si>
    <t>04100S5750</t>
  </si>
  <si>
    <t>Финансовое обеспечение мероприятий  на строительство, и (или) реконструкцию, и (или) ремонт объектов электроснабжения, водоснабжения, находящихся в собственности муниципальных образований, для обеспечения подключения некоммерческих товариществ к источникам электроснабжения, водоснабжения за счет средств районного бюджета в рамках подпрограммы "Развитие и модернизация объектов коммунальной инфраструктуры Большеулуйского района " муниципальной программы «Реформирование и модернизация жилищно-коммунального хозяйства и повышение энергетической эффективности в Большеулуйском районе»</t>
  </si>
  <si>
    <t>94</t>
  </si>
  <si>
    <t>95</t>
  </si>
  <si>
    <t>99</t>
  </si>
  <si>
    <t>101</t>
  </si>
  <si>
    <t>102</t>
  </si>
  <si>
    <t>103</t>
  </si>
  <si>
    <t>104</t>
  </si>
  <si>
    <t>134</t>
  </si>
  <si>
    <t>177</t>
  </si>
  <si>
    <t>178</t>
  </si>
  <si>
    <t>179</t>
  </si>
  <si>
    <t>180</t>
  </si>
  <si>
    <t>181</t>
  </si>
  <si>
    <t>227</t>
  </si>
  <si>
    <t>232</t>
  </si>
  <si>
    <t>233</t>
  </si>
  <si>
    <t>237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</si>
  <si>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</si>
  <si>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</si>
  <si>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</si>
  <si>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</si>
  <si>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</si>
  <si>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</si>
  <si>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</si>
  <si>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</si>
  <si>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</si>
  <si>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</si>
  <si>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</si>
  <si>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255</t>
  </si>
  <si>
    <t>270</t>
  </si>
  <si>
    <t>294</t>
  </si>
  <si>
    <t>295</t>
  </si>
  <si>
    <t>307</t>
  </si>
  <si>
    <t>308</t>
  </si>
  <si>
    <t>309</t>
  </si>
  <si>
    <t>321</t>
  </si>
  <si>
    <t>322</t>
  </si>
  <si>
    <t>341</t>
  </si>
  <si>
    <t>342</t>
  </si>
  <si>
    <t>343</t>
  </si>
  <si>
    <t>371</t>
  </si>
  <si>
    <t>378</t>
  </si>
  <si>
    <t>379</t>
  </si>
  <si>
    <t>380</t>
  </si>
  <si>
    <t>381</t>
  </si>
  <si>
    <t>398</t>
  </si>
  <si>
    <t>399</t>
  </si>
  <si>
    <t>427</t>
  </si>
  <si>
    <t>428</t>
  </si>
  <si>
    <t>429</t>
  </si>
  <si>
    <t>451</t>
  </si>
  <si>
    <t>452</t>
  </si>
  <si>
    <t>456</t>
  </si>
  <si>
    <t>457</t>
  </si>
  <si>
    <t>458</t>
  </si>
  <si>
    <t>494</t>
  </si>
  <si>
    <t>495</t>
  </si>
  <si>
    <t>496</t>
  </si>
  <si>
    <t>557</t>
  </si>
  <si>
    <t>558</t>
  </si>
  <si>
    <t>559</t>
  </si>
  <si>
    <t>560</t>
  </si>
  <si>
    <t>561</t>
  </si>
  <si>
    <t>562</t>
  </si>
  <si>
    <t>570</t>
  </si>
  <si>
    <t>571</t>
  </si>
  <si>
    <t>Подпрограмма "Организация и осуществление бюджетного учета и контроля в финансово-бюджетной сфере Большеулуйского района"</t>
  </si>
  <si>
    <t>Дотации поселениям на выравнивание бюджетной обеспеченности  за счет средств субвенции из краевого бюджета на осуществление отдельных государственных полномочий по расчету и предоставлению дотаций поселениям, в рамках подпрограммы «Создание условий для эффективного и ответственного управления муниципальными финансами, повышения устойчивости бюджетов поселений Большеулуйского района" муниципальной  программы Большеулуйского района «Управление государственными финансами»</t>
  </si>
  <si>
    <t>Глава исполнительного органа местного самоуправления муниципального района в рамках непрограммных расходов исполнительного органа власти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</si>
  <si>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по Большеулуйскому району в рамках непрограммных расходов отдельных органов исполнительной власти</t>
  </si>
  <si>
    <t>0603</t>
  </si>
  <si>
    <t>0600</t>
  </si>
  <si>
    <t>620</t>
  </si>
  <si>
    <t>Подпрограмма «Развитие дошкольного, общего и дополнительного образования детей»</t>
  </si>
  <si>
    <t>Медицинское сопровождение детей во время проведения спортивных соревнований и при доставке в загородные оздоровительные лагеря в рамках подпрограммы «Развитие дошкольного, общего и дополнительного образования детей»  муниципальной программы «Развитие образования Большеулуйского района»</t>
  </si>
  <si>
    <t>Мероприятия, направленные на реализацию приоритетного национального проекта "Образования" в сфере общего и дополнительного образования  в рамках подпрограммы «Развитие дошкольного, общего и дополнительного образования детей»  муниципальной программы «Развитие образования Большеулуйского района»</t>
  </si>
  <si>
    <t>Проведение конкурсов, фестивалей, соревнований с целью выявления одарённых и талантливых детей Большеулуйского района. Софинансирование за участие в краевых конкурсах по условиям Положений. Оплата за участие высокомотивированных обучающихся в выездных интенсивных предметных школах  в рамках подпрограммы «Развитие дошкольного, общего и дополнительного образования детей»  муниципальной программы «Развитие образования Большеулуйского района»</t>
  </si>
  <si>
    <t>Проведение муниципального этапа Всероссийской олимпиады школьников в рамках подпрограммы «Развитие дошкольного, общего и дополнительного образования детей»  муниципальной программы «Развитие образования Большеулуйского района»</t>
  </si>
  <si>
    <t>Реализация образовательных программ оздоровления, отдыха, занятости детей и подростков в рамках подпрограммы «Развитие дошкольного, общего и дополнительного образования детей»  муниципальной программы «Развитие образования Большеулуйского района»</t>
  </si>
  <si>
    <t>Организация подвоза детей и подростков к местам отдыха, оздоровления, занятости, местам проведения культурно-массовых мероприятий в рамках подпрограммы «Развитие дошкольного, общего и дополнительного образования детей» муниципальной программы «Развитие образования Большеулуйского района»</t>
  </si>
  <si>
    <t>Организация проведения военно-полевых сборов в общеобразовательных учреждениях в рамках подпрограммы «Развитие дошкольного, общего и дополнительного образования детей»  муниципальной программы Большеулуйского района «Развитие образования Большеулуйского района»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</si>
  <si>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«Развитие дошкольного, общего и дополнительного образования детей»  муниципальной программы «Развитие образования Большеулуйского района»</t>
  </si>
  <si>
    <t>Финансовое обеспечение 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муниципальных общеобразовательных организациях,  в части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организаций, в рамках подпрограммы «Развитие дошкольного, общего и дополнительного образования детей»  муниципальной программы  "Развитие образования Большеулуйского района"</t>
  </si>
  <si>
    <t>Финансовое обеспечение выделения денежных средств на осуществление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 в муниципальных образовательных организациях, реализующих образовательную программу дошкольного образования, без взимания родительской платы в рамках подпрограммы «Развитие дошкольного, общего и дополнительного образования детей»  муниципальной программы «Развитие образования Большеулуйского района»</t>
  </si>
  <si>
    <t>Финансовое обеспечение на выплату и доставку компенсации части родительской платы за присмотр и уход за детьми в образовательных организациях края, реализующих образовательную программу дошкольного образования, в рамках подпрограммы «Развитие дошкольного, общего и дополнительного образования детей»  муниципальной программы «Развитие образования Большеулуйского района»</t>
  </si>
  <si>
    <t>Финансовое обеспечение на питание детей, обучающихся в муниципальных и негосударственных образовательных организациях, реализующих основные общеобразовательные программы, без взимания платы, в рамках подпрограммы «Развитие дошкольного, общего и дополнительного образования детей»  муниципальной программы «Развитие образования Большеулуйского района»</t>
  </si>
  <si>
    <t>Мероприятие на организацию отдыха детей и их оздоровление за счёт средств краевого бюджета в   рамках подпрограммы «Развитие дошкольного, общего и дополнительного образования детей»  муниципальной программы «Развитие образования Большеулуйского района»</t>
  </si>
  <si>
    <t>Подпрограмма «Господдержка детей сирот, расширение практики применения семейных форм воспитания, защита прав несовершеннолетних детей»</t>
  </si>
  <si>
    <t>Проведение мероприятий направленных на профилактику правонарушений и преступлений среди несовершеннолетних в рамках подпрограммы «Государственная поддержка детей-сирот, расширение практики применения семейных форм воспитания, защита прав несовершеннолетних детей» муниципальной программы «Развитие образования Большеулуйского района»</t>
  </si>
  <si>
    <t>Финансовое обеспечение государственных полномочий по организации и осуществлению деятельности по опеке и попечительству в отношении несовершеннолетних в рамках подпрограммы «Государственная поддержка детей-сирот, расширение практики применения семейных форм воспитания, защита прав несовершеннолетних детей» муниципальной программы «Развитие образования Большеулуйского района»</t>
  </si>
  <si>
    <t>Подпрограмма «Обеспечение реализации муниципальной программы, прочие мероприятия в области образования»</t>
  </si>
  <si>
    <t>Руководство и управление в сфере установленных функций в рамках подпрограммы «Обеспечение реализации муниципальной программы, прочие мероприятия в области образования» муниципальной программы «Развитие образования Большеулуйского района»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</si>
  <si>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«Обеспечение реализации муниципальной программы, прочие мероприятия в области образования» муниципальной программы «Развитие образования Большеулуйского района»</t>
  </si>
  <si>
    <t>Организация мероприятий по обеспечению туристическим снаряжением для проживания участников в палаточных лагерях и спортивным оборудованием для проведения спортивных соревнований в   рамках подпрограммы «Развитие дошкольного, общего и дополнительного образования детей»образования детей» муниципальной программы «Развитие образования Большеулуйского района»</t>
  </si>
  <si>
    <t>Финансовое обеспечение на реализацию отдельных мер по обеспечению ограничения платы граждан за коммунальные услуги в рамках отдельных мероприятий муниципальной программы «Реформирование и модернизация жилищно-коммунального хозяйства и повышение энергетической эффективности Большеулуйского района»</t>
  </si>
  <si>
    <t>Финансовое обеспечение мероприятий на подготовку документов территориального планирования и градостроительного зонирования (внесение в них изменений), на разработку документации по планировке территории за счет средств районного бюджета, в рамках отдельного мероприятия "На подготовку документов территориального планирования и градостроительного зонирования(внесений в них изменений),на разработку документации по планировке территории" муниципальной программы Большеулуйского района "Эфективное управление муниципальным имуществом и земельными отношениями"</t>
  </si>
  <si>
    <t>1990000000</t>
  </si>
  <si>
    <t>19900S4660</t>
  </si>
  <si>
    <t>Финансовое обеспечение государственных полномочий по организации проведения мероприятий при осуществлении деятельности по обращению с  животными без владельцев,  в рамках отдельного мероприятия муниципальной программы Большеулуйского района «Развитие сельского хозяйства и регулирование рынков сельскохозяйственной продукции, сырья и продовольствия в Большеулуйском районе»</t>
  </si>
  <si>
    <t>Финансовое обеспечение работы муниципального опорного центра дополнительного образования (МОЦ) за счет средств районного бюджета в рамках подпрограммы «Развитие дошкольного, общего и дополнительного образования детей» муниципальной программы «Развитие образования Большеулуйского района»</t>
  </si>
  <si>
    <t>Финансовое обеспечение  на организацию и обеспечениеобучающихся по образовательным программам начального общего образования в муниципальных образовательных организациях, за исключением обучающихся с ограниченными возможностями здоровья, бесплатным горячим питанием, предусматривающим наличие горячего блюда, не считая горячего напитка, в рамках подпрограммы «Развитие дошкольного, общего образования детей» муниципальной программы «Развитие образования Большеулуйского района»</t>
  </si>
  <si>
    <t>Иные межбюджетные трансферты  бюджетам муниципальных образований района на повышение надежности функционирования систем жизнеобеспечения граждан сельских поселений в рамках отдельного мероприятия муниципальной программы "Реформирование и модернизация жилищно-коммунального хозяйства и повышение энергетической эффективности в Большеулуйском районе"</t>
  </si>
  <si>
    <t>Дотации на выравнивание уровня бюджетной обеспеченности поселений района  за счёт средств районного бюджета, в рамках подпрограммы «Создание условий для эффективного и ответственного управления муниципальными финансами, повышение устойчивости бюджетов поселений Большеулуйского района» муниципальной программы Большеулуйского района «Управление муниципальными финансами»</t>
  </si>
  <si>
    <t>Дотации на частичную компенсацию расходов на оплату труда работников муниципальных учреждений  за счёт средств краевого бюджета, в рамках подпрограммы «Создание условий для эффективного и ответственного управления муниципальными финансами, повышение устойчивости бюджетов поселений Большеулуйского района» муниципальной программы Большеулуйского района «Управление муниципальными финансами»</t>
  </si>
  <si>
    <t>02200L3040</t>
  </si>
  <si>
    <t>630</t>
  </si>
  <si>
    <t>Обеспечение деятельности (оказание услуг) подведомственных учреждений в рамках подпрограммы "Развитие дошкольного, общего образования детей" муниципальной программы "Развитие образования Большеулуйского района"</t>
  </si>
  <si>
    <t>0220000980</t>
  </si>
  <si>
    <t>0220081020</t>
  </si>
  <si>
    <t>0220081030</t>
  </si>
  <si>
    <t>0220081040</t>
  </si>
  <si>
    <t>0220081080</t>
  </si>
  <si>
    <t>0220081090</t>
  </si>
  <si>
    <t>0220081100</t>
  </si>
  <si>
    <t>0220081110</t>
  </si>
  <si>
    <t>0220081130</t>
  </si>
  <si>
    <t>0220081140</t>
  </si>
  <si>
    <t>0220081160</t>
  </si>
  <si>
    <t>0220081240</t>
  </si>
  <si>
    <t>0230081010</t>
  </si>
  <si>
    <t>0230081050</t>
  </si>
  <si>
    <t>0230081060</t>
  </si>
  <si>
    <t>0240081150</t>
  </si>
  <si>
    <t>0250081200</t>
  </si>
  <si>
    <t>0410082020</t>
  </si>
  <si>
    <t>0410000980</t>
  </si>
  <si>
    <t>0490082030</t>
  </si>
  <si>
    <t>Обеспечение деятельности (оказание услуг) подведомственных учреждений   в рамках подпрограммы «Обеспечение реализации муниципальной программы и прочие мероприятия» муниципальной программы «Реформирование и модернизация жилищно-коммунального хозяйства и повышение энергетической эффективности в Большеулуйском районе»</t>
  </si>
  <si>
    <t>Обеспечение деятельности (оказание услуг) подведомственных учреждений   в рамках отдельных мероприятий муниципальной программы Большеулуйского района «Реформирование и модернизация жилищно-коммунального хозяйства и повышение энергетической эффективности в Большеулуйском районе»</t>
  </si>
  <si>
    <t>0490000980</t>
  </si>
  <si>
    <t>0510083010</t>
  </si>
  <si>
    <t>0510083020</t>
  </si>
  <si>
    <t>Обеспечение деятельности (оказание услуг) подведомственных учреждений в рамках подпрограммы «Обеспечение предупреждения возникновения и развития чрезвычайных ситуаций природного и техногенного характера, снижение ущерба и потерь от чрезвычайных ситуаций муниципального характера» муниципальной программы Большеулуйского района «Защита населения и территории Большеулуйского района от чрезвычайных ситуаций природного и техногенного характера»</t>
  </si>
  <si>
    <t>0510000980</t>
  </si>
  <si>
    <t>0520083030</t>
  </si>
  <si>
    <t>0530083040</t>
  </si>
  <si>
    <t>0530083050</t>
  </si>
  <si>
    <t>0540083060</t>
  </si>
  <si>
    <t>0540083070</t>
  </si>
  <si>
    <t>Обеспечение деятельности (оказание услуг) подведомственных учреждений в рамках подпрограммы   «Культурное наследие Большеулуйского района» муниципальной программы Большеулуйского района «Развитие культуры Большеулуйского района»</t>
  </si>
  <si>
    <t>0810000980</t>
  </si>
  <si>
    <t>0820084010</t>
  </si>
  <si>
    <t>0820084020</t>
  </si>
  <si>
    <t>0820084030</t>
  </si>
  <si>
    <t>0820084040</t>
  </si>
  <si>
    <t>0820000980</t>
  </si>
  <si>
    <t>Обеспечение деятельности (оказание услуг) подведомственных учреждений в рамках подпрограммы   «Искусство и народное творчество Большеулуйского района» муниципальной программы Большеулуйского района «Развитие культуры Большеулуйского района»</t>
  </si>
  <si>
    <t>Обеспечение деятельности (оказание услуг) подведомственных учреждений в рамках подпрограммы   «Развитие архивного дела в Большеулуйском районе» муниципальной программы Большеулуйского района «Развитие культуры Большеулуйского района»</t>
  </si>
  <si>
    <t>0830000980</t>
  </si>
  <si>
    <t>Обеспечение деятельности (оказание услуг) подведомственных учреждений  в рамках подпрограммы   «Обеспечение условий реализации программы и прочие мероприятия» муниципальной программы Большеулуйского района «Развитие культуры Большеулуйского района»</t>
  </si>
  <si>
    <t>0840000980</t>
  </si>
  <si>
    <t>0840084050</t>
  </si>
  <si>
    <t>0840084060</t>
  </si>
  <si>
    <t>0840084070</t>
  </si>
  <si>
    <t>0910085010</t>
  </si>
  <si>
    <t>0910000980</t>
  </si>
  <si>
    <t>Обеспечение деятельности (оказание услуг) подведомственных учреждений  в рамках подпрограммы "Развитие массовой физической культуры и спорта" муниципальной программы Большеулуйского района «Развитие физической культуры, спорта в Большеулуйском районе Красноярского края »</t>
  </si>
  <si>
    <t>1010086010</t>
  </si>
  <si>
    <t>1010086110</t>
  </si>
  <si>
    <t>1010000980</t>
  </si>
  <si>
    <t>Обеспечение деятельности (оказание услуг) подведомственных учреждений   в рамках подпрограммы «Вовлечение молодёжи Большеулуйского района в социальную практику» муниципальной программы  «Молодёжь Большеулуйского района »</t>
  </si>
  <si>
    <t>1020086130</t>
  </si>
  <si>
    <t>1120087030</t>
  </si>
  <si>
    <t>1220088010</t>
  </si>
  <si>
    <t>1810080010</t>
  </si>
  <si>
    <t>1820000810</t>
  </si>
  <si>
    <t>1910089010</t>
  </si>
  <si>
    <t>1920089020</t>
  </si>
  <si>
    <t>1930089030</t>
  </si>
  <si>
    <t>Обеспечение деятельности (оказание услуг) подведомственных учреждений  в рамках подпрограммы «Организация и осуществление муниципального финансового контроля и надзора в финансово-бюджетной сфере Большеулуйского района» муниципальной программы Большеулуйского района «Управление муниципальными финансами»</t>
  </si>
  <si>
    <t>1006</t>
  </si>
  <si>
    <t>Приобретение методических, учебных материалов по тематике в области гражданской обороны, при возникновении чрезвычайных ситуаций, проведение лекций, занятий в рамках подпрограммы   «Организация обучения населения в области гражданской обороны, защиты от чрезвычайных ситуаций природного и техногенного характера, информирование населения о мерах пожарной безопасности» муниципальной программы Большеулуйского района «Защита населения и территории Большеулуйского района от чрезвычайных ситуаций природного и техногенного характера»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</si>
  <si>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 в рамках подпрограммы "Обеспечение условий реализации программы и прочие мероприятия" муниципальной программы Большеулуйского района "Развитие культуры Большеулуйского района"</t>
  </si>
  <si>
    <t>1020086140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</si>
  <si>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в рамках подпрограммы   "Развитие массовой физической культуры и спорта" муниципальной программы Большеулуйского района «Развитие физической культуры, спорта в Большеулуйском районе Красноярского края »</t>
  </si>
  <si>
    <t>Мероприятие на организацию отдыха детей и их оздоровление за счёт средств районного бюджета в   рамках подпрограммы «Развитие дошкольного, общего образования детей» муниципальной программы «Развитие образования Большеулуйского района»</t>
  </si>
  <si>
    <t>Обеспечение деятельности (оказание услуг) подведомственных учреждений в рамках подпрограммы "Обеспечение реализации муниципальной программы, прочие мероприятия в области образования" муниципальной программы "Развитие образования Большеулуйского района"</t>
  </si>
  <si>
    <t>0550000000</t>
  </si>
  <si>
    <t>0550083090</t>
  </si>
  <si>
    <t>Приобретение формы и технических средств для обеспечения деятельности добровольной народной дружины, в рамках подпрограммы   «Профилактика правонарушений на территории Большеулуйского района» муниципальной программы Большеулуйского района «Защита населения и территории Большеулуйского района от чрезвычайных ситуаций природного и техногенного характера»</t>
  </si>
  <si>
    <t>Подпрограмма "Профилактика правонарушений на территории Большеулуйского района"</t>
  </si>
  <si>
    <t>0550083100</t>
  </si>
  <si>
    <t>Поощрение граждан, оказывающих содействие в охране общественного порядка,  в рамках подпрограммы   «Профилактика правонарушений на территории Большеулуйского района» муниципальной программы Большеулуйского района «Защита населения и территории Большеулуйского района от чрезвычайных ситуаций природного и техногенного характера»</t>
  </si>
  <si>
    <t>0240081180</t>
  </si>
  <si>
    <t>Финансовое обеспечение на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за счет средств районного бюджета в рамках подпрограммы «Государственная поддержка детей-сирот, расширение практики применения семейных форм воспитания» муниципальной программы «Развитие образования Большеулуйского района»</t>
  </si>
  <si>
    <t>Капитальные вложения в объекты недвижимого имущества государственной (муниципальной) собственности</t>
  </si>
  <si>
    <t>Бюджетные инвестиции</t>
  </si>
  <si>
    <t>0220081170</t>
  </si>
  <si>
    <t>Субсидии автономным учреждениям</t>
  </si>
  <si>
    <t>Субсидии некоммерческим организациям (за исключением государственных (муниципальных) учреждений)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</si>
  <si>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</si>
  <si>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12</t>
  </si>
  <si>
    <t>13</t>
  </si>
  <si>
    <t>14</t>
  </si>
  <si>
    <t>15</t>
  </si>
  <si>
    <t>17</t>
  </si>
  <si>
    <t>18</t>
  </si>
  <si>
    <t>19</t>
  </si>
  <si>
    <t>20</t>
  </si>
  <si>
    <t>21</t>
  </si>
  <si>
    <t>22</t>
  </si>
  <si>
    <t>23</t>
  </si>
  <si>
    <t>24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</si>
  <si>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</si>
  <si>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</si>
  <si>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</si>
  <si>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</si>
  <si>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</si>
  <si>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</si>
  <si>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</si>
  <si>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</si>
  <si>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</si>
  <si>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</si>
  <si>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</si>
  <si>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</si>
  <si>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62</t>
  </si>
  <si>
    <t>63</t>
  </si>
  <si>
    <t>64</t>
  </si>
  <si>
    <t>66</t>
  </si>
  <si>
    <t>68</t>
  </si>
  <si>
    <t>69</t>
  </si>
  <si>
    <t>70</t>
  </si>
  <si>
    <t>78</t>
  </si>
  <si>
    <t>79</t>
  </si>
  <si>
    <t>80</t>
  </si>
  <si>
    <t>81</t>
  </si>
  <si>
    <t>82</t>
  </si>
  <si>
    <t>83</t>
  </si>
  <si>
    <t>87</t>
  </si>
  <si>
    <t>88</t>
  </si>
  <si>
    <t>89</t>
  </si>
  <si>
    <t>194</t>
  </si>
  <si>
    <t>195</t>
  </si>
  <si>
    <t>196</t>
  </si>
  <si>
    <t>197</t>
  </si>
  <si>
    <t>198</t>
  </si>
  <si>
    <t>228</t>
  </si>
  <si>
    <t>234</t>
  </si>
  <si>
    <t>235</t>
  </si>
  <si>
    <t>236</t>
  </si>
  <si>
    <t>274</t>
  </si>
  <si>
    <t>275</t>
  </si>
  <si>
    <t>276</t>
  </si>
  <si>
    <t>280</t>
  </si>
  <si>
    <t>281</t>
  </si>
  <si>
    <t>282</t>
  </si>
  <si>
    <t>283</t>
  </si>
  <si>
    <t>332</t>
  </si>
  <si>
    <t>333</t>
  </si>
  <si>
    <t>334</t>
  </si>
  <si>
    <t>338</t>
  </si>
  <si>
    <t>339</t>
  </si>
  <si>
    <t>366</t>
  </si>
  <si>
    <t>367</t>
  </si>
  <si>
    <t>376</t>
  </si>
  <si>
    <t>377</t>
  </si>
  <si>
    <t>385</t>
  </si>
  <si>
    <t>388</t>
  </si>
  <si>
    <t>389</t>
  </si>
  <si>
    <t>Обеспечение деятельности (оказание услуг) подведомственных учреждений  в рамках подпрограммы "Развитие и модернизация объектов коммунальной инфраструктуры Большеулуйского района " муниципальной программы «Реформирование и модернизация жилищно-коммунального хозяйства и повышение энергетической эффективности в Большеулуйском районе»</t>
  </si>
  <si>
    <t>Субсидия на транспортировку трупов в морг в рамках подпрограммы "Развитие и модернизация объектов коммунальной инфраструктуры Большеулуйского района" муниципальной программы «Реформирование и модернизация жилищно-коммунального хозяйства и повышение энергетической эффективности в Большеулуйском районе»</t>
  </si>
  <si>
    <t>0410082030</t>
  </si>
  <si>
    <t>Субсидия на погребение умерших не имеющих родственников в рамках подпрограммы "Развитие и модернизация объектов коммунальной инфраструктуры Большеулуйского района" муниципальной программы «Реформирование и модернизация жилищно-коммунального хозяйства и повышение энергетической эффективности в Большеулуйском районе  »</t>
  </si>
  <si>
    <t>Сумма на          2024 год</t>
  </si>
  <si>
    <t>0240078460</t>
  </si>
  <si>
    <t>0240075870</t>
  </si>
  <si>
    <t>Финансовое обеспечение на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за счет средств краевого бюджета в рамках подпрограммы «Государственная поддержка детей-сирот, расширение практики применения семейных форм воспитания» муниципальной программы «Развитие образования Большеулуйского района»</t>
  </si>
  <si>
    <t>Обеспечение деятельности (оказание услуг) ТПМПК в рамках подпрограммы «Обеспечение реализации муниципальной программы, прочие мероприятия в области образования» муниципальной программы «Развитие образования Большеулуйского района»</t>
  </si>
  <si>
    <t xml:space="preserve">Иные межбюджетные трансферты  бюджетам муниципальных образований района содержание автомобильных дорог общего пользования местного значения за счет средств районного бюджета в рамках подпрограммы «Дороги Большеулуйского района» муниципальной программы Большеулуйского района «Развитие транспортной системы» </t>
  </si>
  <si>
    <t>1210088020</t>
  </si>
  <si>
    <t>25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</si>
  <si>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</si>
  <si>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</si>
  <si>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</si>
  <si>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</si>
  <si>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</si>
  <si>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</si>
  <si>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</si>
  <si>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</si>
  <si>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</si>
  <si>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</si>
  <si>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</si>
  <si>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</si>
  <si>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</si>
  <si>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</si>
  <si>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</si>
  <si>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65</t>
  </si>
  <si>
    <t>76</t>
  </si>
  <si>
    <t>77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</si>
  <si>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</si>
  <si>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</si>
  <si>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</si>
  <si>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</si>
  <si>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</si>
  <si>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</si>
  <si>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</si>
  <si>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</si>
  <si>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</si>
  <si>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129</t>
  </si>
  <si>
    <t>130</t>
  </si>
  <si>
    <t>131</t>
  </si>
  <si>
    <t>132</t>
  </si>
  <si>
    <t>133</t>
  </si>
  <si>
    <t>146</t>
  </si>
  <si>
    <t>168</t>
  </si>
  <si>
    <t>169</t>
  </si>
  <si>
    <t>175</t>
  </si>
  <si>
    <t>176</t>
  </si>
  <si>
    <t>187</t>
  </si>
  <si>
    <t>190</t>
  </si>
  <si>
    <t>191</t>
  </si>
  <si>
    <t>192</t>
  </si>
  <si>
    <t>199</t>
  </si>
  <si>
    <t>201</t>
  </si>
  <si>
    <t>202</t>
  </si>
  <si>
    <t>203</t>
  </si>
  <si>
    <t>204</t>
  </si>
  <si>
    <t>256</t>
  </si>
  <si>
    <t>271</t>
  </si>
  <si>
    <t>272</t>
  </si>
  <si>
    <t>273</t>
  </si>
  <si>
    <t>277</t>
  </si>
  <si>
    <t>278</t>
  </si>
  <si>
    <t>279</t>
  </si>
  <si>
    <t>296</t>
  </si>
  <si>
    <t>297</t>
  </si>
  <si>
    <t>298</t>
  </si>
  <si>
    <t>299</t>
  </si>
  <si>
    <t>301</t>
  </si>
  <si>
    <t>302</t>
  </si>
  <si>
    <t>303</t>
  </si>
  <si>
    <t>304</t>
  </si>
  <si>
    <t>311</t>
  </si>
  <si>
    <t>312</t>
  </si>
  <si>
    <t>313</t>
  </si>
  <si>
    <t>314</t>
  </si>
  <si>
    <t>315</t>
  </si>
  <si>
    <t>316</t>
  </si>
  <si>
    <t>329</t>
  </si>
  <si>
    <t>330</t>
  </si>
  <si>
    <t>331</t>
  </si>
  <si>
    <t>372</t>
  </si>
  <si>
    <t>373</t>
  </si>
  <si>
    <t>374</t>
  </si>
  <si>
    <t>375</t>
  </si>
  <si>
    <t>393</t>
  </si>
  <si>
    <t>394</t>
  </si>
  <si>
    <t>395</t>
  </si>
  <si>
    <t>396</t>
  </si>
  <si>
    <t>417</t>
  </si>
  <si>
    <t>418</t>
  </si>
  <si>
    <t>419</t>
  </si>
  <si>
    <t>439</t>
  </si>
  <si>
    <t>440</t>
  </si>
  <si>
    <t>441</t>
  </si>
  <si>
    <t>442</t>
  </si>
  <si>
    <t>443</t>
  </si>
  <si>
    <t>444</t>
  </si>
  <si>
    <t>486</t>
  </si>
  <si>
    <t>487</t>
  </si>
  <si>
    <t>488</t>
  </si>
  <si>
    <t>497</t>
  </si>
  <si>
    <t>498</t>
  </si>
  <si>
    <t>499</t>
  </si>
  <si>
    <t>511</t>
  </si>
  <si>
    <t>512</t>
  </si>
  <si>
    <t>513</t>
  </si>
  <si>
    <t>567</t>
  </si>
  <si>
    <t>568</t>
  </si>
  <si>
    <t>569</t>
  </si>
  <si>
    <t>Субсидии субъектам малого и среднего предпринимательства на реализацию инвестиционных проектов в приоритетных отраслях в Большеулуйском районе, в рамках подпрограммы «Поддержка субъектов малого и среднего предпринимательства» муниципальной программы Большеулуйского района «Развитие субъектов малого и среднего предпринимательства в Большеулуйском районе»</t>
  </si>
  <si>
    <t>Субсидия бюджетным учреждением на государственную поддержку отрасли культуры (модернизацию библиотек в части комплектования книжных фондов библиотек)  за счет средств краевого бюджета, в рамках подпрограммы «Обеспечение условий реализации программы и прочие мероприятия» муниципальной программы Большеулуйского района «Развитие культуры Большеулуйского района»</t>
  </si>
  <si>
    <t>Субсидия бюджетным учреждением на государственную поддержку отрасли культуры (модернизацию библиотек в части комплектования книжных фондов библиотек)  за счет средств районного бюджета, в рамках подпрограммы «Обеспечение условий реализации программы и прочие мероприятия» муниципальной программы Большеулуйского района «Развитие культуры Большеулуйского района»</t>
  </si>
  <si>
    <t>Иные межбюджетные трансферты  бюджетам муниципальных образований района на организацию и проведение акарицидных обработок мест массового отдыха населения, в рамках непрограммных расходов отдельных органов исполнительной власти</t>
  </si>
  <si>
    <t>9510000960</t>
  </si>
  <si>
    <t>9510000970</t>
  </si>
  <si>
    <t>Финансовое обеспечение на осуществление отдельных государственных полномочий по обеспечению предоставления меры социальной поддержки гражданам, достигшим возраста 23 лет и старше, имевшим в соответствии с федеральным законодательством статус детей-сирот, детей, оставшихся без попечения родителей, лиц из числа детей-сирот и детей, оставшихся без попечения родителей (в соответствии с Законом края от 8 июля 2021 года № 11-5284), в рамках подпрограммы «Государственная поддержка детей-сирот, расширение практики применения семейных форм воспитания» муниципальной программы «Развитие образования Большеулуйского района»</t>
  </si>
  <si>
    <t>Отдельное мероприятие "На подготовку документов территориального планирования и градостроительного зонирования(внесение в них изменений),на разработку документации по планировке территории"</t>
  </si>
  <si>
    <t xml:space="preserve">Отдельное мероприятие "Организация  мероприятий при осуществлении деятельности по обращению с  животными без владельцев" </t>
  </si>
  <si>
    <t>11200S6070</t>
  </si>
  <si>
    <t>Субсидии субъектам малого и среднего предпринимательства и физическим лицам, применяющим специальный налоговый режим «Налог на профессиональный доход» на возмещение затрат при осуществлении предпринимательской деятельности в Большеулуйском районе, за счет средств краевого бюджета, в рамках подпрограммы «Поддержка субъектов малого и среднего предпринимательства» муниципальной программы Большеулуйского района «Развитие субъектов малого и среднего предпринимательства в Большеулуйском районе»</t>
  </si>
  <si>
    <t>Субсидии  субъектам малого и среднего предпринимательства и физическим лицам, применяющим специальный налоговый режим «Налог на профессиональный доход» на возмещение затрат при осуществлении предпринимательской деятельности в Большеулуйском районе, за счет средств районного бюджета в рамках подпрограммы «Поддержка субъектов малого и среднего предпринимательства» муниципальной программы Большеулуйского района «Развитие субъектов малого и среднего предпринимательства в Большеулуйском районе»</t>
  </si>
  <si>
    <t>0605</t>
  </si>
  <si>
    <t>Финансовое обеспечение на поддержку деятельности муниципальных молодежных центров за счет средств краевого бюджета, в рамках подпрограммы «Вовлечение молодёжи Большеулуйского района в социальную практику» муниципальной программы  «Молодёжь Большеулуйского района»</t>
  </si>
  <si>
    <t>Финансовое обеспечение на поддержку деятельности муниципальных молодежных центров за счет средств районного бюджета, в рамках подпрограммы «Вовлечение молодёжи Большеулуйского района в социальную практику» муниципальной программы  «Молодёжь Большеулуйского района»</t>
  </si>
  <si>
    <t>0840084030</t>
  </si>
  <si>
    <t>Финансовое обеспечение мероприятий по проведению независимой оценки качества  условий оказания услуг организациями культуры, в рамках подпрограммы "Обеспечение условий реализации программы и прочие мероприятия" муниципальной программы Большеулуйского района "Развитие культуры Большеулуйского района"</t>
  </si>
  <si>
    <t>Предоставление питания дошкольникам дошкольных образовательных организаций и обучающимся в муниципальных образовательных организациях, реализующих основные общеобразовательные программы, за счет средств родительской платы в рамках подпрограммы «Развитие дошкольного, общего образования детей» муниципальной программы «Развитие образования Большеулуйского района»</t>
  </si>
  <si>
    <t>022</t>
  </si>
  <si>
    <t>023</t>
  </si>
  <si>
    <t>024</t>
  </si>
  <si>
    <t>090000000</t>
  </si>
  <si>
    <t>080000000</t>
  </si>
  <si>
    <t>050000000</t>
  </si>
  <si>
    <t>04000000</t>
  </si>
  <si>
    <t>Сумма на          2025 год</t>
  </si>
  <si>
    <t>16</t>
  </si>
  <si>
    <t>26</t>
  </si>
  <si>
    <t>27</t>
  </si>
  <si>
    <t>28</t>
  </si>
  <si>
    <t>29</t>
  </si>
  <si>
    <t>30</t>
  </si>
  <si>
    <t>31</t>
  </si>
  <si>
    <t>32</t>
  </si>
  <si>
    <t>33</t>
  </si>
  <si>
    <t>61</t>
  </si>
  <si>
    <t>67</t>
  </si>
  <si>
    <t>135</t>
  </si>
  <si>
    <t>136</t>
  </si>
  <si>
    <t>147</t>
  </si>
  <si>
    <t>148</t>
  </si>
  <si>
    <t>149</t>
  </si>
  <si>
    <t>150</t>
  </si>
  <si>
    <t>151</t>
  </si>
  <si>
    <t>152</t>
  </si>
  <si>
    <t>158</t>
  </si>
  <si>
    <t>159</t>
  </si>
  <si>
    <t>160</t>
  </si>
  <si>
    <t>161</t>
  </si>
  <si>
    <t>162</t>
  </si>
  <si>
    <t>188</t>
  </si>
  <si>
    <t>189</t>
  </si>
  <si>
    <t>214</t>
  </si>
  <si>
    <t>215</t>
  </si>
  <si>
    <t>216</t>
  </si>
  <si>
    <t>217</t>
  </si>
  <si>
    <t>229</t>
  </si>
  <si>
    <t>230</t>
  </si>
  <si>
    <t>231</t>
  </si>
  <si>
    <t>238</t>
  </si>
  <si>
    <t>239</t>
  </si>
  <si>
    <t>252</t>
  </si>
  <si>
    <t>253</t>
  </si>
  <si>
    <t>254</t>
  </si>
  <si>
    <t>263</t>
  </si>
  <si>
    <t>264</t>
  </si>
  <si>
    <t>265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</si>
  <si>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</si>
  <si>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</si>
  <si>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</si>
  <si>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</si>
  <si>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</si>
  <si>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</si>
  <si>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</si>
  <si>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</si>
  <si>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</si>
  <si>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335</t>
  </si>
  <si>
    <t>336</t>
  </si>
  <si>
    <t>337</t>
  </si>
  <si>
    <t>345</t>
  </si>
  <si>
    <t>346</t>
  </si>
  <si>
    <t>347</t>
  </si>
  <si>
    <t>368</t>
  </si>
  <si>
    <t>369</t>
  </si>
  <si>
    <t>370</t>
  </si>
  <si>
    <t>386</t>
  </si>
  <si>
    <t>387</t>
  </si>
  <si>
    <t>390</t>
  </si>
  <si>
    <t>391</t>
  </si>
  <si>
    <t>392</t>
  </si>
  <si>
    <t>405</t>
  </si>
  <si>
    <t>406</t>
  </si>
  <si>
    <t>407</t>
  </si>
  <si>
    <t>408</t>
  </si>
  <si>
    <t>409</t>
  </si>
  <si>
    <t>411</t>
  </si>
  <si>
    <t>412</t>
  </si>
  <si>
    <t>413</t>
  </si>
  <si>
    <t>414</t>
  </si>
  <si>
    <t>415</t>
  </si>
  <si>
    <t>416</t>
  </si>
  <si>
    <t>431</t>
  </si>
  <si>
    <t>432</t>
  </si>
  <si>
    <t>433</t>
  </si>
  <si>
    <t>434</t>
  </si>
  <si>
    <t>435</t>
  </si>
  <si>
    <t>436</t>
  </si>
  <si>
    <t>453</t>
  </si>
  <si>
    <t>454</t>
  </si>
  <si>
    <t>455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</si>
  <si>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</si>
  <si>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</si>
  <si>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</si>
  <si>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</si>
  <si>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</si>
  <si>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</si>
  <si>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</si>
  <si>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</si>
  <si>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</si>
  <si>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</si>
  <si>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</si>
  <si>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</si>
  <si>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</si>
  <si>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</si>
  <si>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</si>
  <si>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</si>
  <si>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</si>
  <si>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</si>
  <si>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</si>
  <si>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</si>
  <si>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</si>
  <si>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</si>
  <si>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</si>
  <si>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</si>
  <si>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</si>
  <si>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</si>
  <si>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</si>
  <si>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489</t>
  </si>
  <si>
    <t>490</t>
  </si>
  <si>
    <t>491</t>
  </si>
  <si>
    <t>503</t>
  </si>
  <si>
    <t>504</t>
  </si>
  <si>
    <t>505</t>
  </si>
  <si>
    <t>520</t>
  </si>
  <si>
    <t>521</t>
  </si>
  <si>
    <t>522</t>
  </si>
  <si>
    <t>528</t>
  </si>
  <si>
    <t>529</t>
  </si>
  <si>
    <t>535</t>
  </si>
  <si>
    <t>536</t>
  </si>
  <si>
    <t>537</t>
  </si>
  <si>
    <t>538</t>
  </si>
  <si>
    <t>539</t>
  </si>
  <si>
    <t>541</t>
  </si>
  <si>
    <t>542</t>
  </si>
  <si>
    <t>543</t>
  </si>
  <si>
    <t>544</t>
  </si>
  <si>
    <t>545</t>
  </si>
  <si>
    <t>564</t>
  </si>
  <si>
    <t>565</t>
  </si>
  <si>
    <t>566</t>
  </si>
  <si>
    <t>Мероприятия, направленные на реализацию приоритетного национального проекта  "Образование", создание безопасных и комфортных условий и развитие предметно-пространственной среды в сфере дошкольного  образования в рамках подпрограммы «Развитие дошкольного, общего образования детей» муниципальной программы «Развитие образования Большеулуйского района»</t>
  </si>
  <si>
    <t>Распределение бюджетных ассигнований по целевым статьям (муниципальных программ Большеулуйского района и непрограммным направлениям деятельности), группам и подгруппам видов расходов, разделам, подразделам классификации расходов  бюджета муниципального района на 2024 год и плановый период 2025-2026 годов</t>
  </si>
  <si>
    <t>Сумма на          2026 год</t>
  </si>
  <si>
    <t>Иные межбюджетные трансферты бюджетам муниципальных образований района  на ликвидацию несанкционированных свалок в рамках подпрограммы "Развитие и   модернизация объектов коммунальной  инфраструктуры Большеулуйского района" муниципальной программы «Реформирование и модернизация жилищно-коммунального хозяйства и повышение энергетической эффективности в Большеулуйском районе»</t>
  </si>
  <si>
    <t>0410082010</t>
  </si>
  <si>
    <t>02200S8400</t>
  </si>
  <si>
    <t>Финансовое обеспечение мероприятий на развитие и повышение качества работы муниципальных учреждений, предоставление новых муниципальных услуг, повышение их качества за счет средств районного бюджета в рамках подпрограммы «Развитие дошкольного, общего и дополнительного образования детей» муниципальной программы «Развитие образования Большеулуйского района»</t>
  </si>
  <si>
    <t>Предоставление субсидии  на обеспечение функционирования системы персонифицированного финансирования дополнительного образования детей, в рамках подпрограммы «Развитие дошкольного, общего образования детей» муниципальной программы Большеулуйского района «развитие образования Большеулуйского района»</t>
  </si>
  <si>
    <t>0220081120</t>
  </si>
  <si>
    <t>Премия Главы Большеулуйского района обучающимся за особые успехи в различных видов деятельности в рамках подпрограммы «Развитие дошкольного, общего образования детей» муниципальной программы «Развитие образования Большеулуйского района»</t>
  </si>
  <si>
    <t>139</t>
  </si>
  <si>
    <t>140</t>
  </si>
  <si>
    <t>141</t>
  </si>
  <si>
    <t>211</t>
  </si>
  <si>
    <t>212</t>
  </si>
  <si>
    <t>213</t>
  </si>
  <si>
    <t>257</t>
  </si>
  <si>
    <t>258</t>
  </si>
  <si>
    <t>259</t>
  </si>
  <si>
    <t>260</t>
  </si>
  <si>
    <t>261</t>
  </si>
  <si>
    <t>262</t>
  </si>
  <si>
    <t>437</t>
  </si>
  <si>
    <t>438</t>
  </si>
  <si>
    <t>572</t>
  </si>
  <si>
    <t>573</t>
  </si>
  <si>
    <t>574</t>
  </si>
  <si>
    <t>575</t>
  </si>
  <si>
    <t>576</t>
  </si>
  <si>
    <t>577</t>
  </si>
  <si>
    <t>578</t>
  </si>
  <si>
    <t>Оснащение (обновление материально-технической базы) оборудованием, средствами обучения и воспитания общеобразовательных организаций, в том числе осуществляющих образовательную деятельность по адаптированным основным общеобразовательным программам за счет  средств районного бюджета в рамках подпрограммы «Развитие дошкольного, общего и дополнительного образования детей» муниципальной программы «Развитие образования Большеулуйского района»</t>
  </si>
  <si>
    <t>579</t>
  </si>
  <si>
    <t>580</t>
  </si>
  <si>
    <t>581</t>
  </si>
  <si>
    <t>022E151720</t>
  </si>
  <si>
    <t xml:space="preserve">Муниципальная программа "Развитие субъектов малого и среднего предпринимательства в Большеулуйском районе" </t>
  </si>
  <si>
    <t>Приложение № 5                                                                     к  Решению Большеулуйского районного Совета депутатов  от  12.12.2023  № 133</t>
  </si>
  <si>
    <t>Непрограммные расходы представительных органов власти</t>
  </si>
  <si>
    <t>1403</t>
  </si>
  <si>
    <t>Иные межбюджетные трансферты бюджетам муниципальных образований района на выравнивание обеспеченности муниципальных образований Большеулуйского района по реализации ими отдельных расходных обязательств в рамках подпрограммы «Создание условий для эффективного и ответственного управления муниципальными финансами, повышение устойчивости бюджетов поселений Большеулуйского района» муниципальной программы Большеулуйского района «Управление муниципальными финансами»</t>
  </si>
  <si>
    <t>1810080020</t>
  </si>
  <si>
    <t>0490082040</t>
  </si>
  <si>
    <t>Финансовое обеспечение мероприятий на проведение ремонта учреждения социальной сферы в рамках  отдельных мероприятий муниципальной программы «Реформирование и модернизация жилищно-коммунального хозяйства и повышение энергетической эффективности Большеулуйского района»</t>
  </si>
  <si>
    <t>830</t>
  </si>
  <si>
    <t>Финансовое обеспечение мероприятий  на обустройство мест (площадок) накопления отходов потребления и (или) приобретение контейнерного оборудования за счет средств краевого бюджета  в рамках отдельных мероприятий муниципальной программы Большеулуйского района "Реформирование и модернизация жилищно-коммунального хозяйства"</t>
  </si>
  <si>
    <t>04900S4630</t>
  </si>
  <si>
    <t>Финансовое обеспечение мероприятий на проведение и организацию мероприятия посвещенного 100 летнему юбилею Большеулуйского района в рамках подпрограммы "Обеспечение условий реализации программы и прочие мероприятия" муниципальной программы Большеулуйского района "Развитие культуры Большеулуйского района "</t>
  </si>
  <si>
    <t>582</t>
  </si>
  <si>
    <t>583</t>
  </si>
  <si>
    <t>584</t>
  </si>
  <si>
    <t>585</t>
  </si>
  <si>
    <t>586</t>
  </si>
  <si>
    <t>587</t>
  </si>
  <si>
    <t>588</t>
  </si>
  <si>
    <t>589</t>
  </si>
  <si>
    <t>590</t>
  </si>
  <si>
    <t>591</t>
  </si>
  <si>
    <t>592</t>
  </si>
  <si>
    <t>593</t>
  </si>
  <si>
    <t>594</t>
  </si>
  <si>
    <t>595</t>
  </si>
  <si>
    <t>596</t>
  </si>
  <si>
    <t>597</t>
  </si>
  <si>
    <t>1840027240</t>
  </si>
  <si>
    <t>Финансовое обеспечение  на частичную компенсацию расходов на повышение оплаты труда отдельным категориям работников бюджетной сферы в рамках подпрограммы «Обеспечение реализации муниципальной программы и прочие мероприятия» муниципальной программы Большеулуйского района «Управление муниципальными финансами»</t>
  </si>
  <si>
    <t>0310</t>
  </si>
  <si>
    <t>0510074120</t>
  </si>
  <si>
    <t>Иные межбюджетные трансферты  бюджетам муниципальных образований района на обеспечение первичных мер пожарной безопасности в рамках подпрограммы "Обеспечение предупреждения возникновения и развития чрезвычайных ситуаций природного и техногенного характера, снижения ущерба и потерь от чрезвычайных ситуаций муниципального характера" муниципальной программы Большеулуйского района "Защита населения и территории Большеулуйского района от чрезвычайных ситуаций природного и техногенного характера"</t>
  </si>
  <si>
    <t>0410076660</t>
  </si>
  <si>
    <t>0503</t>
  </si>
  <si>
    <t>Иные межбюджетные трансферты  бюджетам муниципальных образований района   на благоустройство кладбищ в рамках подпрограммы «Развитие и модернизация объектов коммунальной инфраструктуры Большеулуйского района» муниципальной программы Большеулуйского района «Реформирование и модернизация жилищно-коммунального хозяйства и повышение энергетической эффективности в Большеулуйском районе»</t>
  </si>
  <si>
    <t>1890076410</t>
  </si>
  <si>
    <t>Иные межбюджетные трансферты  бюджетам муниципальных образований района на осуществление расходов, направленных на реализацию мероприятий по поддержке местных инициатив, в рамках отдельного мероприятия «Поддержка местных инициатив» муниципальной программы Большеулуйского района «Управление муниципальными финансами»</t>
  </si>
  <si>
    <t xml:space="preserve">Финансовое обеспечение  на частичную компенсацию расходов на повышение оплаты труда отдельным категориям работников бюджетной сферы в рамках непрограммных расходов  представительного органа власти </t>
  </si>
  <si>
    <t>9510027240</t>
  </si>
  <si>
    <t>9710027240</t>
  </si>
  <si>
    <t xml:space="preserve">Финансовое обеспечение  на частичную компенсацию расходов на повышение оплаты труда отдельным категориям работников бюджетной сферы в рамках непрограммных расходов  контрольно-счётного органа </t>
  </si>
  <si>
    <t>9610027240</t>
  </si>
  <si>
    <t>Финансовое обеспечение  на частичную компенсацию расходов на повышение оплаты труда отдельным категориям работников бюджетной сферы в рамках непрограммных расходов исполнительного органа власти</t>
  </si>
  <si>
    <t>0830027240</t>
  </si>
  <si>
    <t>Финансовое обеспечение  на частичную компенсацию расходов на повышение оплаты труда отдельным категориям работников бюджетной сферы в рамках подпрограммы   «Развитие архивного дела в Большеулуйском районе» муниципальной программы Большеулуйского района «Развитие культуры Большеулуйского района»</t>
  </si>
  <si>
    <t>1830027240</t>
  </si>
  <si>
    <t>Финансовое обеспечение  на частичную компенсацию расходов на повышение оплаты труда отдельным категориям работников бюджетной сферы  в рамках подпрограммы «Организация и осуществление муниципального финансового контроля и надзора в финансово-бюджетной сфере Большеулуйского района» муниципальной программы Большеулуйского района «Управление муниципальными финансами»</t>
  </si>
  <si>
    <t>0510027240</t>
  </si>
  <si>
    <t>Финансовое обеспечение  на частичную компенсацию расходов на повышение оплаты труда отдельным категориям работников бюджетной сферы в рамках подпрограммы «Обеспечение предупреждения возникновения и развития чрезвычайных ситуаций природного и техногенного характера, снижение ущерба и потерь от чрезвычайных ситуаций муниципального характера» муниципальной программы Большеулуйского района «Защита населения и территории Большеулуйского района от чрезвычайных ситуаций природного и техногенного характера»</t>
  </si>
  <si>
    <t>05200S6750</t>
  </si>
  <si>
    <t>Финансовое обеспечение мероприятия на приобретение извещателей дымовых автономных отдельным категориям граждан в целях оснащения ими жилых помещений за счёт средств районного бюджета в рамках подпрограммы "Обеспечение профилактики и тушения пожаров в Большеулуйском районе" муниципальной программы Большеулуйского района "Защита населения и территории Большеулуйского района от чрезвычайных ситуаций природного и техногенного характера"</t>
  </si>
  <si>
    <t>0410</t>
  </si>
  <si>
    <t>Финансовое обеспечение мероприятий на создание условий для развития услуг связи в малочисленных и труднодоступных населенных пунктах Красноярского края, за счет средств краевого бюджета в рамках  отдельных мероприятий муниципальной программы «Реформирование и модернизация жилищно-коммунального хозяйства и повышение энергетической эффективности Большеулуйского района»</t>
  </si>
  <si>
    <t>049D276450</t>
  </si>
  <si>
    <t>Финансовое обеспечение мероприятий на создание условий для развития услуг связи в малочисленных и труднодоступных населенных пунктах Красноярского края, за счет средств районного бюджета в рамках  отдельных мероприятий муниципальной программы «Реформирование и модернизация жилищно-коммунального хозяйства и повышение энергетической эффективности Большеулуйского района»</t>
  </si>
  <si>
    <t>11200S6680</t>
  </si>
  <si>
    <t>Субсидии  субъектам малого и среднего предпринимательства и физическим лицамна реализацию муниципальных программ развития субъектов малого и среднего предпринимательства в целях предоставления грантовой поддержки на начало ведения предпринимательской деятельности, за счет средств краевого бюджета в рамках подпрограммы «Поддержка субъектов малого и среднего предпринимательства» муниципальной программы  «Развитие субъектов малого и среднего предпринимательства в Большеулуйском районе»</t>
  </si>
  <si>
    <t>Субсидии  субъектам малого и среднего предпринимательства и физическим лицамна реализацию муниципальных программ развития субъектов малого и среднего предпринимательства в целях предоставления грантовой поддержки на начало ведения предпринимательской деятельности, за счет средств районного бюджета в рамках подпрограммы «Поддержка субъектов малого и среднего предпринимательства» муниципальной программы  «Развитие субъектов малого и среднего предпринимательства в Большеулуйском районе»</t>
  </si>
  <si>
    <t>1990080010</t>
  </si>
  <si>
    <t>Финансовое обеспечение мероприятий на рамках местных нормативов градостроительного проектирования Большеулуйского района Красноярского края, в рамках отдельного мероприятия "На подготовку документов территориального планирования и градостроительного зонирования(внесений в них изменений),на разработку документации по планировке территории" муниципальной программы Большеулуйского района "Эфективное управление муниципальным имуществом и земельными отношениями"</t>
  </si>
  <si>
    <t>0410027240</t>
  </si>
  <si>
    <t>Финансовое обеспечение  на частичную компенсацию расходов на повышение оплаты труда отдельным категориям работников бюджетной сферы в рамках подпрограммы "Развитие и модернизация объектов коммунальной инфраструктуры Большеулуйского района" муниципальной программы "Реформирование и модернизация жилищно-коммунального хозяйства и повышение энергетической эффективности в Большеулуйском районе"</t>
  </si>
  <si>
    <t>Финансовое обеспечение  на частичную компенсацию расходов на повышение оплаты труда отдельным категориям работников бюджетной сферы в рамках отдельных мероприятий муниципальной программы Большеулуйского района "Реформирование и модернизация жилищно-коммунального хозяйства"</t>
  </si>
  <si>
    <t>0490027240</t>
  </si>
  <si>
    <t>8,2</t>
  </si>
  <si>
    <t>-0,7</t>
  </si>
  <si>
    <t>Финансовое обеспечение  на частичную компенсацию расходов на повышение оплаты труда отдельным категориям работников бюджетной сферы в рамках подпрограммы "Обеспечение условий реализации программы и прочие мероприятия" муниципальной программы Большеулуйского района "Развитие культуры Большеулуйского района"</t>
  </si>
  <si>
    <t>0840027240</t>
  </si>
  <si>
    <t>1010027240</t>
  </si>
  <si>
    <t>Финансовое обеспечение  на частичную компенсацию расходов на повышение оплаты труда отдельным категориям работников бюджетной сферы в рамках подпрограммы «Вовлечение молодёжи Большеулуйского района в социальную практику» муниципальной программы  «Молодёжь Большеулуйского района»</t>
  </si>
  <si>
    <t>0810027240</t>
  </si>
  <si>
    <t>Финансовое обеспечение  на частичную компенсацию расходов на повышение оплаты труда отдельным категориям работников бюджетной сферы в рамках подпрограммы «Культурное наследие Большеулуйского района» муниципальной программы Большеулуйского района «Развитие культуры Большеулуйского района»</t>
  </si>
  <si>
    <t>0820027240</t>
  </si>
  <si>
    <t>Финансовое обеспечение  на частичную компенсацию расходов на повышение оплаты труда отдельным категориям работников бюджетной сферы  в рамках подпрограммы   «Искусство и народное творчество Большеулуйского района» муниципальной программы Большеулуйского района «Развитие культуры Большеулуйского района»</t>
  </si>
  <si>
    <t>Финансовое обеспечение мероприятий  на обеспечение развития и укрепления материально-технической базы домов культуры в населенных пунктах с числом жителей до 50 тысяч человек  за счёт краевого бюджета в рамках подпрограммы   «Искусство и народное творчество Большеулуйского района» муниципальной программы Большеулуйского района «Развитие культуры Большеулуйского района»</t>
  </si>
  <si>
    <t>Финансовое обеспечение мероприятий  на обеспечение развития и укрепления материально-технической базы домов культуры в населенных пунктах с числом жителей до 50 тысяч человек за счёт районного бюджета в рамках подпрограммы   «Искусство и народное творчество Большеулуйского района» муниципальной программы Большеулуйского района «Развитие культуры Большеулуйского района»</t>
  </si>
  <si>
    <t>08400L5190</t>
  </si>
  <si>
    <t>084А255195</t>
  </si>
  <si>
    <t>Субсидия бюджетным учреждениям  отрасли культуры на поддержку лучших работников сельских учреждений культуры за счет средств краевого бюджета, в рамках подпрограммы "Обеспечение условий реализации программы и прочие мероприятия" муниципальной программы Большеулуйского района "Развитие культуры Большеулуйского района"</t>
  </si>
  <si>
    <t>084А255196</t>
  </si>
  <si>
    <t>Субсидия бюджетным учреждениям отрасли культуры на поддержку лучших сельских учреждений культуры за счет средств краевого бюджета, в рамках подпрограммы "Обеспечение условий реализации программы и прочие мероприятия" муниципальной программы Большеулуйского района "Развитие культуры Большеулуйского района"</t>
  </si>
  <si>
    <t>Предоставление социальных выплат молодым семьям на приобретение (строительство жилья) за счёт средств краевого бюджета , в рамках подпрограммы «Обеспечение жильём молодых семей в Большеулуйском районе» муниципальной программы  «Молодёжь Большеулуйского района »</t>
  </si>
  <si>
    <t>0910010320</t>
  </si>
  <si>
    <t>Финансовое обеспечение  на увеличение размеров оплаты труда отдельным категориям работников бюджетной сферы Красноярского края в рамках подпрограммы "Развитие массовой физической культуры и спорта" муниципальной программы Большеулуйского района «Развитие физической культуры, спорта в Большеулуйском районе Красноярского края»</t>
  </si>
  <si>
    <t>0910027240</t>
  </si>
  <si>
    <t>Финансовое обеспечение  на частичную компенсацию расходов на повышение оплаты труда отдельным категориям работников бюджетной сферы в рамках подпрограммы в рамках подпрограммы   "Развитие массовой физической культуры и спорта" муниципальной программы Большеулуйского района «Развитие физической культуры, спорта в Большеулуйском районе Красноярского края»</t>
  </si>
  <si>
    <t>0910074180</t>
  </si>
  <si>
    <t>Финансовое обеспечение  мероприятий на поддержку физкультурно-спортивных клубов по месту жительства за счёт средств краевого бюджета  в рамках подпрограммы   "Развитие массовой физической культуры и спорта" муниципальной программы Большеулуйского района «Развитие физической культуры, спорта в Большеулуйском районе Красноярского края »</t>
  </si>
  <si>
    <t>09100S4370</t>
  </si>
  <si>
    <t>Финансовое обеспечение мероприятий на модернизацию и укрепление материально-технической базы муниципальных физкультурно-спортивных организаций и муниципальных образовательных организаций, осуществляющих деятельность в области физической культуры и спорта за счет средств краевого бюджета  в рамках подпрограммы   "Развитие массовой физической культуры и спорта" муниципальной программы Большеулуйского района «Развитие физической культуры, спорта в Большеулуйском районе Красноярского края»</t>
  </si>
  <si>
    <t>Финансовое обеспечение мероприятий на модернизацию и укрепление материально-технической базы муниципальных физкультурно-спортивных организаций и муниципальных образовательных организаций, осуществляющих деятельность в области физической культуры и спорта за счет средств районного бюджета  в рамках подпрограммы   "Развитие массовой физической культуры и спорта" муниципальной программы Большеулуйского района «Развитие физической культуры, спорта в Большеулуйском районе Красноярского края»</t>
  </si>
  <si>
    <t>0450027240</t>
  </si>
  <si>
    <t>Финансовое обеспечение  на частичную компенсацию расходов на повышение оплаты труда отдельным категориям работников бюджетной сферы в рамках подпрограммы «Обеспечение реализации муниципальной программы и прочие мероприятия» муниципальной программы «Реформирование и модернизация жилищно-коммунального хозяйства и повышение энергетической эффективности в Большеулуйском районе»</t>
  </si>
  <si>
    <t>Финансовое обеспечение  на частичную компенсацию расходов на повышение оплаты труда отдельным категориям работников бюджетной сферы в рамках подпрограммы «Развитие дошкольного, общего образования детей» муниципальной программы «Развитие образования Большеулуйского района»</t>
  </si>
  <si>
    <t>02200S5820</t>
  </si>
  <si>
    <t>Финансовое обеспечение мероприятий на приведение зданий и сооружений организаций, реализующих образовательные программы дошкольного образования, в соответствие с требованиями законодательства за счет средств краевого бюджета в рамках подпрограммы «Развитие дошкольного, общего и дополнительного образования детей» муниципальной программы «Развитие образования Большеулуйского района»</t>
  </si>
  <si>
    <t>Финансовое обеспечение мероприятий на приведение зданий и сооружений организаций, реализующих образовательные программы дошкольного образования, в соответствие с требованиями законодательства за счет средств районного бюджета в рамках подпрограммы «Развитие дошкольного, общего и дополнительного образования детей» муниципальной программы «Развитие образования Большеулуйского района»</t>
  </si>
  <si>
    <t>0220010320</t>
  </si>
  <si>
    <t>Финансовое обеспечение  на увеличение размеров оплаты труда отдельным категориям работников бюджетной сферы Красноярского края в рамках подпрограммы «Развитие дошкольного, общего и дополнительного образования детей»  муниципальной программы «Развитие образования Большеулуйского района»</t>
  </si>
  <si>
    <t>02200S5210</t>
  </si>
  <si>
    <t>Финансовое обеспечение мероприятий на создание условий для оснащения (обновления материально-технической базы) оборудованием, средствами обучения и воспитания общеобразовательных организаций, в том числе осуществляющих образовательную деятельность по адаптированным основным общеобразовательным программам за счет средств краевого бюджета в рамках подпрограммы «Развитие дошкольного, общего и дополнительного образования детей» муниципальной программы «Развитие образования Большеулуйского района»</t>
  </si>
  <si>
    <t>Финансовое обеспечение мероприятий на создание условий для оснащения (обновления материально-технической базы) оборудованием, средствами обучения и воспитания общеобразовательных организаций, в том числе осуществляющих образовательную деятельность по адаптированным основным общеобразовательным программам за счет средств районного бюджета в рамках подпрограммы «Развитие дошкольного, общего и дополнительного образования детей» муниципальной программы «Развитие образования Большеулуйского района»</t>
  </si>
  <si>
    <t>Финансовое обеспечение мероприятий на развитие и повышение качества работы муниципальных учреждений, предоставление новых муниципальных услуг, повышение их качества за счет средств краевого бюджета в рамках подпрограммы «Развитие дошкольного, общего и дополнительного образования детей» муниципальной программы «Развитие образования Большеулуйского района»</t>
  </si>
  <si>
    <t>02200L3030</t>
  </si>
  <si>
    <t>Ежемесячное денежное вознаграждение за классное руководство педагогическим работникам муниципальных образовательных организаций  в рамках подпрограммы «Развитие дошкольного, общего образования детей» муниципальной программы «Развитие образования Большеулуйского района»</t>
  </si>
  <si>
    <t>Финансовое обеспечение мероприятий на оснащение (обновление материально-технической базы) оборудованием, средствами обучения и воспитания общеобразовательных организаций, в том числе осуществляющих образовательную деятельность по адаптированным основным общеобразовательным программам за счет средств краевого бюджета в рамках подпрограммы «Развитие дошкольного, общего и дополнительного образования» муниципальной программы «Развитие образования Большеулуйского района»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</si>
  <si>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за счет средств краевого бюджета в рамках подпрограммы «Развитие дошкольного, общего и дополнительного образования»муниципальной программы «Развитие образования Большеулуйского района»</t>
  </si>
  <si>
    <t>022ЕВ51790</t>
  </si>
  <si>
    <t>0220008530</t>
  </si>
  <si>
    <t>Финансовое  обеспечение (возмещение) расходов,связанных с предоставлением мер социальной поддержки в сфере  дошкольного и общего образования детей из семей лиц, принимающих участие в специальной военной операции,в рамках подпрограммы «Развитие дошкольного, общего и дополнительного образования детей» муниципальной программы «Развитие образования Большеулуйского района»</t>
  </si>
  <si>
    <t>Премии и гранты</t>
  </si>
  <si>
    <t>Финансовое обеспечение  на частичную компенсацию расходов на повышение оплаты труда отдельным категориям работников бюджетной сферы в рамках подпрограммы «Обеспечение реализации муниципальной программы и прочие мероприятия в области образования» муниципальной программы «Развитие образования Большеулуйского района»</t>
  </si>
  <si>
    <t>0250027240</t>
  </si>
  <si>
    <t>02200S5830</t>
  </si>
  <si>
    <t>Финансовое обеспечение на софинансирование организации и обеспечения бесплатным двухразовым питанием обучающихся с ограниченными возможностями здоровья в муниципальных общеобразовательных организациях за счёт средст районного бюджета в рамках подпрограммы «Развитие дошкольного, общего образования детей» муниципальной программы «Развитие образования Большеулуйского района»</t>
  </si>
  <si>
    <t>Финансовое обеспечение на софинансирование организации и обеспечения бесплатным двухразовым питанием обучающихся с ограниченными возможностями здоровья в муниципальных общеобразовательных организациях за счёт средст краевого бюджета в рамках подпрограммы «Развитие дошкольного, общего образования детей» муниципальной программы «Развитие образования Большеулуйского района»</t>
  </si>
  <si>
    <t>1890000000</t>
  </si>
  <si>
    <t xml:space="preserve">Отдельное мероприятие «Поддержка местных инициатив» </t>
  </si>
  <si>
    <t>1010010320</t>
  </si>
  <si>
    <t>Финансовое обеспечение  на увеличение размеров оплаты труда отдельным категориям работников бюджетной сферы Красноярского края в рамках подпрограммы «Вовлечение молодёжи Большеулуйского района в социальную практику» муниципальной программы  «Молодёжь Большеулуйского района »</t>
  </si>
  <si>
    <t>598</t>
  </si>
  <si>
    <t>599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</si>
  <si>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</si>
  <si>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</si>
  <si>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</si>
  <si>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</si>
  <si>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</si>
  <si>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</si>
  <si>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</si>
  <si>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</si>
  <si>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</si>
  <si>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611</t>
  </si>
  <si>
    <t>612</t>
  </si>
  <si>
    <t>613</t>
  </si>
  <si>
    <t>614</t>
  </si>
  <si>
    <t>615</t>
  </si>
  <si>
    <t>616</t>
  </si>
  <si>
    <t>617</t>
  </si>
  <si>
    <t>618</t>
  </si>
  <si>
    <t>619</t>
  </si>
  <si>
    <t>621</t>
  </si>
  <si>
    <t>622</t>
  </si>
  <si>
    <t>623</t>
  </si>
  <si>
    <t>624</t>
  </si>
  <si>
    <t>625</t>
  </si>
  <si>
    <t>626</t>
  </si>
  <si>
    <t>627</t>
  </si>
  <si>
    <t>628</t>
  </si>
  <si>
    <t>629</t>
  </si>
  <si>
    <t>631</t>
  </si>
  <si>
    <t>632</t>
  </si>
  <si>
    <t>633</t>
  </si>
  <si>
    <t>634</t>
  </si>
  <si>
    <t>635</t>
  </si>
  <si>
    <t>636</t>
  </si>
  <si>
    <t>637</t>
  </si>
  <si>
    <t>638</t>
  </si>
  <si>
    <t>639</t>
  </si>
  <si>
    <t>640</t>
  </si>
  <si>
    <t>641</t>
  </si>
  <si>
    <t>642</t>
  </si>
  <si>
    <t>643</t>
  </si>
  <si>
    <t>644</t>
  </si>
  <si>
    <t>645</t>
  </si>
  <si>
    <t>646</t>
  </si>
  <si>
    <t>647</t>
  </si>
  <si>
    <t>648</t>
  </si>
  <si>
    <t>649</t>
  </si>
  <si>
    <t>650</t>
  </si>
  <si>
    <t>651</t>
  </si>
  <si>
    <t>652</t>
  </si>
  <si>
    <t>653</t>
  </si>
  <si>
    <t>654</t>
  </si>
  <si>
    <t>655</t>
  </si>
  <si>
    <t>656</t>
  </si>
  <si>
    <t>657</t>
  </si>
  <si>
    <t>658</t>
  </si>
  <si>
    <t>659</t>
  </si>
  <si>
    <t>660</t>
  </si>
  <si>
    <t>661</t>
  </si>
  <si>
    <t>662</t>
  </si>
  <si>
    <t>663</t>
  </si>
  <si>
    <t>664</t>
  </si>
  <si>
    <t>665</t>
  </si>
  <si>
    <t>666</t>
  </si>
  <si>
    <t>667</t>
  </si>
  <si>
    <t>668</t>
  </si>
  <si>
    <t>669</t>
  </si>
  <si>
    <t>670</t>
  </si>
  <si>
    <t>671</t>
  </si>
  <si>
    <t>672</t>
  </si>
  <si>
    <t>673</t>
  </si>
  <si>
    <t>674</t>
  </si>
  <si>
    <t>675</t>
  </si>
  <si>
    <t>676</t>
  </si>
  <si>
    <t>677</t>
  </si>
  <si>
    <t>678</t>
  </si>
  <si>
    <t>679</t>
  </si>
  <si>
    <t>680</t>
  </si>
  <si>
    <t>681</t>
  </si>
  <si>
    <t>682</t>
  </si>
  <si>
    <t>683</t>
  </si>
  <si>
    <t>684</t>
  </si>
  <si>
    <t>685</t>
  </si>
  <si>
    <t>686</t>
  </si>
  <si>
    <t>687</t>
  </si>
  <si>
    <t>688</t>
  </si>
  <si>
    <t>689</t>
  </si>
  <si>
    <t>690</t>
  </si>
  <si>
    <t>691</t>
  </si>
  <si>
    <t>692</t>
  </si>
  <si>
    <t>693</t>
  </si>
  <si>
    <t>694</t>
  </si>
  <si>
    <t>695</t>
  </si>
  <si>
    <t>696</t>
  </si>
  <si>
    <t>697</t>
  </si>
  <si>
    <t>698</t>
  </si>
  <si>
    <t>699</t>
  </si>
  <si>
    <t>701</t>
  </si>
  <si>
    <t>702</t>
  </si>
  <si>
    <t>703</t>
  </si>
  <si>
    <t>704</t>
  </si>
  <si>
    <t>705</t>
  </si>
  <si>
    <t>706</t>
  </si>
  <si>
    <t>707</t>
  </si>
  <si>
    <t>708</t>
  </si>
  <si>
    <t>709</t>
  </si>
  <si>
    <t>710</t>
  </si>
  <si>
    <t>711</t>
  </si>
  <si>
    <t>712</t>
  </si>
  <si>
    <t>713</t>
  </si>
  <si>
    <t>714</t>
  </si>
  <si>
    <t>715</t>
  </si>
  <si>
    <t>716</t>
  </si>
  <si>
    <t>717</t>
  </si>
  <si>
    <t>718</t>
  </si>
  <si>
    <t>719</t>
  </si>
  <si>
    <t>720</t>
  </si>
  <si>
    <t>721</t>
  </si>
  <si>
    <t>722</t>
  </si>
  <si>
    <t>723</t>
  </si>
  <si>
    <t>724</t>
  </si>
  <si>
    <t>725</t>
  </si>
  <si>
    <t>726</t>
  </si>
  <si>
    <t>727</t>
  </si>
  <si>
    <t>728</t>
  </si>
  <si>
    <t>729</t>
  </si>
  <si>
    <t>731</t>
  </si>
  <si>
    <t>732</t>
  </si>
  <si>
    <t>733</t>
  </si>
  <si>
    <t>734</t>
  </si>
  <si>
    <t>735</t>
  </si>
  <si>
    <t>736</t>
  </si>
  <si>
    <t>737</t>
  </si>
  <si>
    <t>738</t>
  </si>
  <si>
    <t>739</t>
  </si>
  <si>
    <t>740</t>
  </si>
  <si>
    <t>741</t>
  </si>
  <si>
    <t>742</t>
  </si>
  <si>
    <t>743</t>
  </si>
  <si>
    <t>744</t>
  </si>
  <si>
    <t>745</t>
  </si>
  <si>
    <t>746</t>
  </si>
  <si>
    <t>747</t>
  </si>
  <si>
    <t>748</t>
  </si>
  <si>
    <t>749</t>
  </si>
  <si>
    <t>750</t>
  </si>
  <si>
    <t>751</t>
  </si>
  <si>
    <t>752</t>
  </si>
  <si>
    <t>753</t>
  </si>
  <si>
    <t>754</t>
  </si>
  <si>
    <t>755</t>
  </si>
  <si>
    <t>756</t>
  </si>
  <si>
    <t>757</t>
  </si>
  <si>
    <t>758</t>
  </si>
  <si>
    <t>759</t>
  </si>
  <si>
    <t>760</t>
  </si>
  <si>
    <t>761</t>
  </si>
  <si>
    <t>762</t>
  </si>
  <si>
    <t>763</t>
  </si>
  <si>
    <t>764</t>
  </si>
  <si>
    <t>765</t>
  </si>
  <si>
    <t>766</t>
  </si>
  <si>
    <t>767</t>
  </si>
  <si>
    <t>768</t>
  </si>
  <si>
    <t>769</t>
  </si>
  <si>
    <t>770</t>
  </si>
  <si>
    <t>771</t>
  </si>
  <si>
    <t>772</t>
  </si>
  <si>
    <t>773</t>
  </si>
  <si>
    <t>774</t>
  </si>
  <si>
    <t>775</t>
  </si>
  <si>
    <t>776</t>
  </si>
  <si>
    <t>777</t>
  </si>
  <si>
    <t>778</t>
  </si>
  <si>
    <t>779</t>
  </si>
  <si>
    <t>780</t>
  </si>
  <si>
    <t>781</t>
  </si>
  <si>
    <t>782</t>
  </si>
  <si>
    <t>783</t>
  </si>
  <si>
    <t>784</t>
  </si>
  <si>
    <t>785</t>
  </si>
  <si>
    <t>786</t>
  </si>
  <si>
    <t>787</t>
  </si>
  <si>
    <t>788</t>
  </si>
  <si>
    <t>08200S4720</t>
  </si>
  <si>
    <t>0220027240</t>
  </si>
  <si>
    <t xml:space="preserve">Приложение № 5                                                                     к  Решению Большеулуйского районного Совета депутатов  от  05.07.2024  № 167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</si>
</sst>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?"/>
    <numFmt numFmtId="174" formatCode="#,##0.000"/>
    <numFmt numFmtId="175" formatCode="0.0"/>
  </numFmts>
  <fonts count="58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sz val="8"/>
      <color indexed="8"/>
      <name val="Calibri"/>
      <family val="2"/>
    </font>
    <font>
      <b/>
      <sz val="10"/>
      <name val="Arial Cyr"/>
      <family val="0"/>
    </font>
    <font>
      <b/>
      <sz val="10"/>
      <name val="Times New Roman"/>
      <family val="1"/>
    </font>
    <font>
      <i/>
      <sz val="10"/>
      <name val="Times New Roman"/>
      <family val="1"/>
    </font>
    <font>
      <i/>
      <sz val="10"/>
      <name val="Arial Cyr"/>
      <family val="0"/>
    </font>
    <font>
      <b/>
      <sz val="12"/>
      <name val="Times New Roman"/>
      <family val="1"/>
    </font>
    <font>
      <b/>
      <i/>
      <sz val="10"/>
      <name val="Times New Roman"/>
      <family val="1"/>
    </font>
    <font>
      <sz val="10"/>
      <name val="Helv"/>
      <family val="0"/>
    </font>
    <font>
      <b/>
      <i/>
      <sz val="10"/>
      <name val="Arial Cyr"/>
      <family val="0"/>
    </font>
    <font>
      <sz val="11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b/>
      <sz val="8"/>
      <name val="Arial Cyr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79984760284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hair"/>
      <top style="hair"/>
      <bottom style="hair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4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5" fillId="0" borderId="0">
      <alignment/>
      <protection/>
    </xf>
    <xf numFmtId="0" fontId="36" fillId="0" borderId="0">
      <alignment/>
      <protection/>
    </xf>
    <xf numFmtId="0" fontId="12" fillId="0" borderId="0">
      <alignment/>
      <protection/>
    </xf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117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9" fillId="0" borderId="0" xfId="0" applyFont="1" applyFill="1" applyAlignment="1">
      <alignment/>
    </xf>
    <xf numFmtId="49" fontId="2" fillId="0" borderId="10" xfId="0" applyNumberFormat="1" applyFont="1" applyFill="1" applyBorder="1" applyAlignment="1">
      <alignment horizontal="center" vertical="center" wrapText="1"/>
    </xf>
    <xf numFmtId="0" fontId="6" fillId="32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2" fillId="0" borderId="0" xfId="0" applyNumberFormat="1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/>
    </xf>
    <xf numFmtId="4" fontId="2" fillId="0" borderId="0" xfId="0" applyNumberFormat="1" applyFont="1" applyFill="1" applyAlignment="1">
      <alignment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9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6" fillId="33" borderId="0" xfId="0" applyFont="1" applyFill="1" applyAlignment="1">
      <alignment/>
    </xf>
    <xf numFmtId="3" fontId="2" fillId="0" borderId="10" xfId="0" applyNumberFormat="1" applyFont="1" applyFill="1" applyBorder="1" applyAlignment="1">
      <alignment horizontal="center" vertical="center" wrapText="1"/>
    </xf>
    <xf numFmtId="0" fontId="0" fillId="34" borderId="0" xfId="0" applyFont="1" applyFill="1" applyAlignment="1">
      <alignment/>
    </xf>
    <xf numFmtId="172" fontId="2" fillId="34" borderId="10" xfId="0" applyNumberFormat="1" applyFont="1" applyFill="1" applyBorder="1" applyAlignment="1">
      <alignment horizontal="right" vertical="center" wrapText="1"/>
    </xf>
    <xf numFmtId="0" fontId="0" fillId="34" borderId="0" xfId="0" applyFont="1" applyFill="1" applyAlignment="1">
      <alignment/>
    </xf>
    <xf numFmtId="0" fontId="9" fillId="34" borderId="0" xfId="0" applyFont="1" applyFill="1" applyAlignment="1">
      <alignment/>
    </xf>
    <xf numFmtId="0" fontId="6" fillId="34" borderId="0" xfId="0" applyFont="1" applyFill="1" applyAlignment="1">
      <alignment/>
    </xf>
    <xf numFmtId="172" fontId="2" fillId="34" borderId="0" xfId="0" applyNumberFormat="1" applyFont="1" applyFill="1" applyBorder="1" applyAlignment="1">
      <alignment horizontal="right" vertical="center" wrapText="1"/>
    </xf>
    <xf numFmtId="0" fontId="0" fillId="34" borderId="0" xfId="0" applyFont="1" applyFill="1" applyBorder="1" applyAlignment="1">
      <alignment/>
    </xf>
    <xf numFmtId="0" fontId="0" fillId="34" borderId="0" xfId="0" applyFont="1" applyFill="1" applyAlignment="1">
      <alignment/>
    </xf>
    <xf numFmtId="49" fontId="2" fillId="34" borderId="0" xfId="0" applyNumberFormat="1" applyFont="1" applyFill="1" applyAlignment="1">
      <alignment horizontal="center" vertical="center"/>
    </xf>
    <xf numFmtId="0" fontId="2" fillId="34" borderId="0" xfId="0" applyNumberFormat="1" applyFont="1" applyFill="1" applyAlignment="1">
      <alignment vertical="center"/>
    </xf>
    <xf numFmtId="4" fontId="2" fillId="34" borderId="0" xfId="0" applyNumberFormat="1" applyFont="1" applyFill="1" applyAlignment="1">
      <alignment vertical="center"/>
    </xf>
    <xf numFmtId="172" fontId="0" fillId="34" borderId="0" xfId="0" applyNumberFormat="1" applyFont="1" applyFill="1" applyAlignment="1">
      <alignment/>
    </xf>
    <xf numFmtId="0" fontId="9" fillId="34" borderId="0" xfId="0" applyFont="1" applyFill="1" applyBorder="1" applyAlignment="1">
      <alignment/>
    </xf>
    <xf numFmtId="0" fontId="6" fillId="34" borderId="0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172" fontId="0" fillId="34" borderId="0" xfId="0" applyNumberFormat="1" applyFont="1" applyFill="1" applyBorder="1" applyAlignment="1">
      <alignment/>
    </xf>
    <xf numFmtId="172" fontId="0" fillId="34" borderId="0" xfId="0" applyNumberFormat="1" applyFont="1" applyFill="1" applyAlignment="1">
      <alignment/>
    </xf>
    <xf numFmtId="172" fontId="2" fillId="35" borderId="10" xfId="0" applyNumberFormat="1" applyFont="1" applyFill="1" applyBorder="1" applyAlignment="1">
      <alignment horizontal="right" vertical="center" wrapText="1"/>
    </xf>
    <xf numFmtId="0" fontId="0" fillId="35" borderId="0" xfId="0" applyFont="1" applyFill="1" applyBorder="1" applyAlignment="1">
      <alignment/>
    </xf>
    <xf numFmtId="0" fontId="0" fillId="35" borderId="0" xfId="0" applyFont="1" applyFill="1" applyAlignment="1">
      <alignment/>
    </xf>
    <xf numFmtId="49" fontId="7" fillId="0" borderId="0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0" fillId="36" borderId="0" xfId="0" applyFont="1" applyFill="1" applyAlignment="1">
      <alignment/>
    </xf>
    <xf numFmtId="0" fontId="9" fillId="36" borderId="0" xfId="0" applyFont="1" applyFill="1" applyAlignment="1">
      <alignment/>
    </xf>
    <xf numFmtId="0" fontId="6" fillId="36" borderId="0" xfId="0" applyFont="1" applyFill="1" applyAlignment="1">
      <alignment/>
    </xf>
    <xf numFmtId="0" fontId="0" fillId="36" borderId="0" xfId="0" applyFont="1" applyFill="1" applyAlignment="1">
      <alignment/>
    </xf>
    <xf numFmtId="0" fontId="13" fillId="33" borderId="0" xfId="0" applyFont="1" applyFill="1" applyAlignment="1">
      <alignment/>
    </xf>
    <xf numFmtId="0" fontId="0" fillId="36" borderId="0" xfId="0" applyFont="1" applyFill="1" applyAlignment="1">
      <alignment/>
    </xf>
    <xf numFmtId="0" fontId="0" fillId="0" borderId="0" xfId="0" applyFont="1" applyFill="1" applyAlignment="1">
      <alignment/>
    </xf>
    <xf numFmtId="175" fontId="2" fillId="34" borderId="10" xfId="0" applyNumberFormat="1" applyFont="1" applyFill="1" applyBorder="1" applyAlignment="1">
      <alignment horizontal="right" vertical="center" wrapText="1"/>
    </xf>
    <xf numFmtId="175" fontId="2" fillId="0" borderId="0" xfId="0" applyNumberFormat="1" applyFont="1" applyFill="1" applyBorder="1" applyAlignment="1">
      <alignment vertical="center" wrapText="1"/>
    </xf>
    <xf numFmtId="49" fontId="2" fillId="34" borderId="0" xfId="0" applyNumberFormat="1" applyFont="1" applyFill="1" applyBorder="1" applyAlignment="1">
      <alignment horizontal="center" vertical="center" wrapText="1"/>
    </xf>
    <xf numFmtId="175" fontId="2" fillId="34" borderId="0" xfId="0" applyNumberFormat="1" applyFont="1" applyFill="1" applyBorder="1" applyAlignment="1">
      <alignment vertical="center" wrapText="1"/>
    </xf>
    <xf numFmtId="173" fontId="2" fillId="34" borderId="10" xfId="0" applyNumberFormat="1" applyFont="1" applyFill="1" applyBorder="1" applyAlignment="1" applyProtection="1">
      <alignment horizontal="left" vertical="center" wrapText="1"/>
      <protection/>
    </xf>
    <xf numFmtId="49" fontId="2" fillId="34" borderId="10" xfId="0" applyNumberFormat="1" applyFont="1" applyFill="1" applyBorder="1" applyAlignment="1">
      <alignment horizontal="center" vertical="center" wrapText="1"/>
    </xf>
    <xf numFmtId="173" fontId="2" fillId="34" borderId="0" xfId="0" applyNumberFormat="1" applyFont="1" applyFill="1" applyBorder="1" applyAlignment="1" applyProtection="1">
      <alignment horizontal="left" vertical="center" wrapText="1"/>
      <protection/>
    </xf>
    <xf numFmtId="175" fontId="2" fillId="34" borderId="10" xfId="0" applyNumberFormat="1" applyFont="1" applyFill="1" applyBorder="1" applyAlignment="1">
      <alignment vertical="center" wrapText="1"/>
    </xf>
    <xf numFmtId="175" fontId="8" fillId="34" borderId="10" xfId="0" applyNumberFormat="1" applyFont="1" applyFill="1" applyBorder="1" applyAlignment="1">
      <alignment vertical="center" wrapText="1"/>
    </xf>
    <xf numFmtId="175" fontId="8" fillId="34" borderId="10" xfId="0" applyNumberFormat="1" applyFont="1" applyFill="1" applyBorder="1" applyAlignment="1">
      <alignment horizontal="right" vertical="center" wrapText="1"/>
    </xf>
    <xf numFmtId="0" fontId="0" fillId="0" borderId="10" xfId="0" applyBorder="1" applyAlignment="1">
      <alignment/>
    </xf>
    <xf numFmtId="0" fontId="0" fillId="37" borderId="0" xfId="0" applyFill="1" applyAlignment="1">
      <alignment/>
    </xf>
    <xf numFmtId="0" fontId="0" fillId="0" borderId="11" xfId="0" applyFill="1" applyBorder="1" applyAlignment="1">
      <alignment/>
    </xf>
    <xf numFmtId="2" fontId="0" fillId="0" borderId="0" xfId="0" applyNumberFormat="1" applyAlignment="1">
      <alignment/>
    </xf>
    <xf numFmtId="2" fontId="0" fillId="0" borderId="10" xfId="0" applyNumberFormat="1" applyBorder="1" applyAlignment="1">
      <alignment/>
    </xf>
    <xf numFmtId="49" fontId="7" fillId="34" borderId="10" xfId="0" applyNumberFormat="1" applyFont="1" applyFill="1" applyBorder="1" applyAlignment="1">
      <alignment horizontal="center" vertical="center" wrapText="1"/>
    </xf>
    <xf numFmtId="175" fontId="7" fillId="34" borderId="10" xfId="0" applyNumberFormat="1" applyFont="1" applyFill="1" applyBorder="1" applyAlignment="1">
      <alignment vertical="center" wrapText="1"/>
    </xf>
    <xf numFmtId="49" fontId="8" fillId="34" borderId="10" xfId="0" applyNumberFormat="1" applyFont="1" applyFill="1" applyBorder="1" applyAlignment="1">
      <alignment horizontal="center" vertical="center" wrapText="1"/>
    </xf>
    <xf numFmtId="175" fontId="7" fillId="34" borderId="10" xfId="0" applyNumberFormat="1" applyFont="1" applyFill="1" applyBorder="1" applyAlignment="1">
      <alignment horizontal="right" vertical="center" wrapText="1"/>
    </xf>
    <xf numFmtId="0" fontId="9" fillId="34" borderId="10" xfId="0" applyFont="1" applyFill="1" applyBorder="1" applyAlignment="1">
      <alignment/>
    </xf>
    <xf numFmtId="2" fontId="2" fillId="34" borderId="10" xfId="0" applyNumberFormat="1" applyFont="1" applyFill="1" applyBorder="1" applyAlignment="1">
      <alignment vertical="center" wrapText="1"/>
    </xf>
    <xf numFmtId="49" fontId="2" fillId="34" borderId="10" xfId="0" applyNumberFormat="1" applyFont="1" applyFill="1" applyBorder="1" applyAlignment="1" applyProtection="1">
      <alignment horizontal="left" vertical="center" wrapText="1"/>
      <protection/>
    </xf>
    <xf numFmtId="49" fontId="7" fillId="34" borderId="10" xfId="0" applyNumberFormat="1" applyFont="1" applyFill="1" applyBorder="1" applyAlignment="1" applyProtection="1">
      <alignment horizontal="left" vertical="center" wrapText="1"/>
      <protection/>
    </xf>
    <xf numFmtId="49" fontId="8" fillId="34" borderId="10" xfId="0" applyNumberFormat="1" applyFont="1" applyFill="1" applyBorder="1" applyAlignment="1" applyProtection="1">
      <alignment horizontal="left" vertical="center" wrapText="1"/>
      <protection/>
    </xf>
    <xf numFmtId="0" fontId="2" fillId="34" borderId="10" xfId="0" applyNumberFormat="1" applyFont="1" applyFill="1" applyBorder="1" applyAlignment="1">
      <alignment horizontal="left" wrapText="1"/>
    </xf>
    <xf numFmtId="0" fontId="2" fillId="34" borderId="10" xfId="0" applyNumberFormat="1" applyFont="1" applyFill="1" applyBorder="1" applyAlignment="1">
      <alignment wrapText="1"/>
    </xf>
    <xf numFmtId="173" fontId="2" fillId="34" borderId="12" xfId="0" applyNumberFormat="1" applyFont="1" applyFill="1" applyBorder="1" applyAlignment="1" applyProtection="1">
      <alignment horizontal="left" vertical="center" wrapText="1"/>
      <protection/>
    </xf>
    <xf numFmtId="0" fontId="2" fillId="34" borderId="0" xfId="0" applyFont="1" applyFill="1" applyAlignment="1">
      <alignment wrapText="1"/>
    </xf>
    <xf numFmtId="0" fontId="2" fillId="34" borderId="10" xfId="0" applyFont="1" applyFill="1" applyBorder="1" applyAlignment="1">
      <alignment/>
    </xf>
    <xf numFmtId="0" fontId="2" fillId="34" borderId="10" xfId="55" applyNumberFormat="1" applyFont="1" applyFill="1" applyBorder="1" applyAlignment="1">
      <alignment horizontal="left" vertical="top" wrapText="1"/>
      <protection/>
    </xf>
    <xf numFmtId="0" fontId="2" fillId="34" borderId="10" xfId="0" applyNumberFormat="1" applyFont="1" applyFill="1" applyBorder="1" applyAlignment="1">
      <alignment horizontal="center" vertical="center" wrapText="1"/>
    </xf>
    <xf numFmtId="173" fontId="2" fillId="34" borderId="10" xfId="0" applyNumberFormat="1" applyFont="1" applyFill="1" applyBorder="1" applyAlignment="1">
      <alignment horizontal="left" wrapText="1"/>
    </xf>
    <xf numFmtId="0" fontId="55" fillId="34" borderId="10" xfId="0" applyNumberFormat="1" applyFont="1" applyFill="1" applyBorder="1" applyAlignment="1" quotePrefix="1">
      <alignment horizontal="left" vertical="top" wrapText="1"/>
    </xf>
    <xf numFmtId="173" fontId="8" fillId="34" borderId="10" xfId="0" applyNumberFormat="1" applyFont="1" applyFill="1" applyBorder="1" applyAlignment="1" applyProtection="1">
      <alignment horizontal="left" vertical="center" wrapText="1"/>
      <protection/>
    </xf>
    <xf numFmtId="49" fontId="11" fillId="34" borderId="10" xfId="0" applyNumberFormat="1" applyFont="1" applyFill="1" applyBorder="1" applyAlignment="1">
      <alignment horizontal="center" vertical="center" wrapText="1"/>
    </xf>
    <xf numFmtId="173" fontId="7" fillId="34" borderId="10" xfId="0" applyNumberFormat="1" applyFont="1" applyFill="1" applyBorder="1" applyAlignment="1" applyProtection="1">
      <alignment horizontal="left" vertical="center" wrapText="1"/>
      <protection/>
    </xf>
    <xf numFmtId="2" fontId="8" fillId="34" borderId="10" xfId="0" applyNumberFormat="1" applyFont="1" applyFill="1" applyBorder="1" applyAlignment="1">
      <alignment vertical="center" wrapText="1"/>
    </xf>
    <xf numFmtId="2" fontId="2" fillId="34" borderId="12" xfId="0" applyNumberFormat="1" applyFont="1" applyFill="1" applyBorder="1" applyAlignment="1">
      <alignment vertical="center" wrapText="1"/>
    </xf>
    <xf numFmtId="49" fontId="7" fillId="34" borderId="10" xfId="0" applyNumberFormat="1" applyFont="1" applyFill="1" applyBorder="1" applyAlignment="1" applyProtection="1">
      <alignment horizontal="center" vertical="center"/>
      <protection/>
    </xf>
    <xf numFmtId="49" fontId="8" fillId="34" borderId="10" xfId="0" applyNumberFormat="1" applyFont="1" applyFill="1" applyBorder="1" applyAlignment="1" applyProtection="1">
      <alignment horizontal="center" vertical="center"/>
      <protection/>
    </xf>
    <xf numFmtId="49" fontId="2" fillId="34" borderId="10" xfId="0" applyNumberFormat="1" applyFont="1" applyFill="1" applyBorder="1" applyAlignment="1" applyProtection="1">
      <alignment horizontal="center" vertical="center"/>
      <protection/>
    </xf>
    <xf numFmtId="11" fontId="2" fillId="34" borderId="10" xfId="0" applyNumberFormat="1" applyFont="1" applyFill="1" applyBorder="1" applyAlignment="1" applyProtection="1">
      <alignment horizontal="left" vertical="center" wrapText="1"/>
      <protection/>
    </xf>
    <xf numFmtId="0" fontId="7" fillId="34" borderId="10" xfId="0" applyNumberFormat="1" applyFont="1" applyFill="1" applyBorder="1" applyAlignment="1">
      <alignment horizontal="left" vertical="center" wrapText="1"/>
    </xf>
    <xf numFmtId="2" fontId="7" fillId="34" borderId="10" xfId="0" applyNumberFormat="1" applyFont="1" applyFill="1" applyBorder="1" applyAlignment="1">
      <alignment vertical="center" wrapText="1"/>
    </xf>
    <xf numFmtId="0" fontId="2" fillId="34" borderId="10" xfId="0" applyNumberFormat="1" applyFont="1" applyFill="1" applyBorder="1" applyAlignment="1">
      <alignment horizontal="left" vertical="center" wrapText="1"/>
    </xf>
    <xf numFmtId="173" fontId="14" fillId="34" borderId="10" xfId="0" applyNumberFormat="1" applyFont="1" applyFill="1" applyBorder="1" applyAlignment="1" applyProtection="1">
      <alignment horizontal="left" vertical="center" wrapText="1"/>
      <protection/>
    </xf>
    <xf numFmtId="173" fontId="2" fillId="34" borderId="13" xfId="0" applyNumberFormat="1" applyFont="1" applyFill="1" applyBorder="1" applyAlignment="1" applyProtection="1">
      <alignment horizontal="left" vertical="center" wrapText="1"/>
      <protection/>
    </xf>
    <xf numFmtId="173" fontId="2" fillId="0" borderId="10" xfId="0" applyNumberFormat="1" applyFont="1" applyFill="1" applyBorder="1" applyAlignment="1" applyProtection="1">
      <alignment horizontal="left" vertical="center" wrapText="1"/>
      <protection/>
    </xf>
    <xf numFmtId="2" fontId="2" fillId="0" borderId="10" xfId="0" applyNumberFormat="1" applyFont="1" applyFill="1" applyBorder="1" applyAlignment="1">
      <alignment vertical="center" wrapText="1"/>
    </xf>
    <xf numFmtId="173" fontId="2" fillId="34" borderId="10" xfId="54" applyNumberFormat="1" applyFont="1" applyFill="1" applyBorder="1" applyAlignment="1" applyProtection="1">
      <alignment horizontal="left" vertical="center" wrapText="1"/>
      <protection/>
    </xf>
    <xf numFmtId="0" fontId="56" fillId="34" borderId="14" xfId="0" applyFont="1" applyFill="1" applyBorder="1" applyAlignment="1">
      <alignment horizontal="left" wrapText="1"/>
    </xf>
    <xf numFmtId="175" fontId="0" fillId="0" borderId="0" xfId="0" applyNumberFormat="1" applyFont="1" applyFill="1" applyAlignment="1">
      <alignment/>
    </xf>
    <xf numFmtId="175" fontId="0" fillId="0" borderId="0" xfId="0" applyNumberFormat="1" applyFont="1" applyFill="1" applyAlignment="1">
      <alignment/>
    </xf>
    <xf numFmtId="175" fontId="0" fillId="0" borderId="0" xfId="0" applyNumberFormat="1" applyFont="1" applyFill="1" applyAlignment="1">
      <alignment/>
    </xf>
    <xf numFmtId="175" fontId="7" fillId="0" borderId="0" xfId="0" applyNumberFormat="1" applyFont="1" applyFill="1" applyBorder="1" applyAlignment="1">
      <alignment horizontal="center" vertical="center" wrapText="1"/>
    </xf>
    <xf numFmtId="175" fontId="8" fillId="0" borderId="0" xfId="0" applyNumberFormat="1" applyFont="1" applyFill="1" applyBorder="1" applyAlignment="1">
      <alignment horizontal="center" vertical="center" wrapText="1"/>
    </xf>
    <xf numFmtId="175" fontId="2" fillId="0" borderId="0" xfId="0" applyNumberFormat="1" applyFont="1" applyFill="1" applyBorder="1" applyAlignment="1">
      <alignment horizontal="center" vertical="center" wrapText="1"/>
    </xf>
    <xf numFmtId="175" fontId="6" fillId="0" borderId="0" xfId="0" applyNumberFormat="1" applyFont="1" applyFill="1" applyAlignment="1">
      <alignment/>
    </xf>
    <xf numFmtId="175" fontId="0" fillId="35" borderId="0" xfId="0" applyNumberFormat="1" applyFont="1" applyFill="1" applyAlignment="1">
      <alignment/>
    </xf>
    <xf numFmtId="175" fontId="0" fillId="35" borderId="0" xfId="0" applyNumberFormat="1" applyFont="1" applyFill="1" applyAlignment="1">
      <alignment/>
    </xf>
    <xf numFmtId="175" fontId="9" fillId="0" borderId="0" xfId="0" applyNumberFormat="1" applyFont="1" applyFill="1" applyAlignment="1">
      <alignment/>
    </xf>
    <xf numFmtId="175" fontId="0" fillId="0" borderId="0" xfId="0" applyNumberFormat="1" applyFont="1" applyFill="1" applyBorder="1" applyAlignment="1">
      <alignment/>
    </xf>
    <xf numFmtId="175" fontId="0" fillId="35" borderId="0" xfId="0" applyNumberFormat="1" applyFont="1" applyFill="1" applyAlignment="1">
      <alignment/>
    </xf>
    <xf numFmtId="175" fontId="2" fillId="35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4" fontId="2" fillId="0" borderId="0" xfId="0" applyNumberFormat="1" applyFont="1" applyFill="1" applyAlignment="1">
      <alignment vertical="center" wrapText="1" shrinkToFit="1"/>
    </xf>
    <xf numFmtId="4" fontId="2" fillId="0" borderId="0" xfId="0" applyNumberFormat="1" applyFont="1" applyAlignment="1">
      <alignment vertical="center" wrapText="1" shrinkToFit="1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97"/>
  <sheetViews>
    <sheetView tabSelected="1" view="pageBreakPreview" zoomScaleSheetLayoutView="100" zoomScalePageLayoutView="0" workbookViewId="0" topLeftCell="A1">
      <selection activeCell="F10" sqref="F10"/>
    </sheetView>
  </sheetViews>
  <sheetFormatPr defaultColWidth="9.00390625" defaultRowHeight="12.75"/>
  <cols>
    <col min="1" max="1" width="7.375" style="10" customWidth="1"/>
    <col min="2" max="2" width="56.75390625" style="9" customWidth="1"/>
    <col min="3" max="3" width="11.25390625" style="9" customWidth="1"/>
    <col min="4" max="4" width="10.625" style="10" customWidth="1"/>
    <col min="5" max="5" width="11.875" style="10" customWidth="1"/>
    <col min="6" max="6" width="14.125" style="11" customWidth="1"/>
    <col min="7" max="7" width="13.25390625" style="11" customWidth="1"/>
    <col min="8" max="8" width="12.75390625" style="11" customWidth="1"/>
    <col min="9" max="9" width="10.625" style="2" hidden="1" customWidth="1"/>
    <col min="10" max="11" width="9.125" style="2" hidden="1" customWidth="1"/>
    <col min="12" max="13" width="0.12890625" style="2" hidden="1" customWidth="1"/>
    <col min="14" max="16" width="9.125" style="2" hidden="1" customWidth="1"/>
    <col min="17" max="16384" width="9.125" style="2" customWidth="1"/>
  </cols>
  <sheetData>
    <row r="1" spans="6:8" ht="57.75" customHeight="1">
      <c r="F1" s="113" t="s">
        <v>1343</v>
      </c>
      <c r="G1" s="114"/>
      <c r="H1" s="114"/>
    </row>
    <row r="2" spans="6:8" ht="50.25" customHeight="1">
      <c r="F2" s="113" t="s">
        <v>1036</v>
      </c>
      <c r="G2" s="114"/>
      <c r="H2" s="114"/>
    </row>
    <row r="3" spans="6:8" ht="43.5" customHeight="1" hidden="1">
      <c r="F3" s="113"/>
      <c r="G3" s="114"/>
      <c r="H3" s="114"/>
    </row>
    <row r="4" spans="1:8" s="1" customFormat="1" ht="15.75" customHeight="1">
      <c r="A4" s="112" t="s">
        <v>1000</v>
      </c>
      <c r="B4" s="112"/>
      <c r="C4" s="112"/>
      <c r="D4" s="112"/>
      <c r="E4" s="112"/>
      <c r="F4" s="112"/>
      <c r="G4" s="112"/>
      <c r="H4" s="112"/>
    </row>
    <row r="5" spans="1:8" s="1" customFormat="1" ht="45" customHeight="1">
      <c r="A5" s="112"/>
      <c r="B5" s="112"/>
      <c r="C5" s="112"/>
      <c r="D5" s="112"/>
      <c r="E5" s="112"/>
      <c r="F5" s="112"/>
      <c r="G5" s="112"/>
      <c r="H5" s="112"/>
    </row>
    <row r="6" ht="12.75">
      <c r="H6" s="11" t="s">
        <v>20</v>
      </c>
    </row>
    <row r="7" spans="1:8" s="8" customFormat="1" ht="25.5">
      <c r="A7" s="12" t="s">
        <v>21</v>
      </c>
      <c r="B7" s="12" t="s">
        <v>22</v>
      </c>
      <c r="C7" s="6" t="s">
        <v>23</v>
      </c>
      <c r="D7" s="6" t="s">
        <v>8</v>
      </c>
      <c r="E7" s="6" t="s">
        <v>12</v>
      </c>
      <c r="F7" s="13" t="s">
        <v>731</v>
      </c>
      <c r="G7" s="13" t="s">
        <v>863</v>
      </c>
      <c r="H7" s="13" t="s">
        <v>1001</v>
      </c>
    </row>
    <row r="8" spans="1:8" s="8" customFormat="1" ht="12.75">
      <c r="A8" s="12">
        <v>1</v>
      </c>
      <c r="B8" s="12">
        <v>2</v>
      </c>
      <c r="C8" s="6" t="s">
        <v>48</v>
      </c>
      <c r="D8" s="6" t="s">
        <v>26</v>
      </c>
      <c r="E8" s="6" t="s">
        <v>27</v>
      </c>
      <c r="F8" s="17">
        <v>6</v>
      </c>
      <c r="G8" s="17">
        <v>7</v>
      </c>
      <c r="H8" s="17">
        <v>8</v>
      </c>
    </row>
    <row r="9" spans="1:16" s="15" customFormat="1" ht="34.5" customHeight="1">
      <c r="A9" s="53" t="s">
        <v>24</v>
      </c>
      <c r="B9" s="70" t="s">
        <v>161</v>
      </c>
      <c r="C9" s="63" t="s">
        <v>187</v>
      </c>
      <c r="D9" s="63"/>
      <c r="E9" s="63"/>
      <c r="F9" s="64">
        <f>F10+F231+F241+F267</f>
        <v>396511.1</v>
      </c>
      <c r="G9" s="64">
        <f>G10+G231+G241+G267</f>
        <v>340323.4</v>
      </c>
      <c r="H9" s="64">
        <f>H10+H231+H241+H267</f>
        <v>336731</v>
      </c>
      <c r="I9" s="18"/>
      <c r="J9" s="18"/>
      <c r="K9" s="18"/>
      <c r="O9" s="18"/>
      <c r="P9" s="101"/>
    </row>
    <row r="10" spans="1:16" s="15" customFormat="1" ht="33.75" customHeight="1">
      <c r="A10" s="53" t="s">
        <v>25</v>
      </c>
      <c r="B10" s="71" t="s">
        <v>541</v>
      </c>
      <c r="C10" s="65" t="s">
        <v>188</v>
      </c>
      <c r="D10" s="65"/>
      <c r="E10" s="65"/>
      <c r="F10" s="56">
        <f>F11+F104+F112+F117+F120+F123+F126+F134+F139+F142+F152+F35+F50+F57+F64+F69+F163+F170+F74+F83+F90+F97+F197+F109+F215+F145+F205+F129+F223+F43+F177+F180+F30+F157+F160+F202+F210+F220+F226+F25+F190+F183</f>
        <v>364464.6</v>
      </c>
      <c r="G10" s="56">
        <f>G11+G104+G112+G117+G120+G123+G126+G134+G139+G142+G152+G35+G50+G57+G64+G69+G163+G170+G74+G83+G90+G97+G197+G109+G215+G145+G205+G129+G223</f>
        <v>312260.2</v>
      </c>
      <c r="H10" s="56">
        <f>H11+H104+H112+H117+H120+H123+H126+H134+H139+H142+H152+H35+H50+H57+H64+H69+H163+H170+H74+H83+H90+H97+H197+H109+H215+H145+H205+H129+H223</f>
        <v>309284.3</v>
      </c>
      <c r="I10" s="18"/>
      <c r="J10" s="18"/>
      <c r="K10" s="18"/>
      <c r="M10" s="45"/>
      <c r="O10" s="18"/>
      <c r="P10" s="101"/>
    </row>
    <row r="11" spans="1:16" s="15" customFormat="1" ht="56.25" customHeight="1">
      <c r="A11" s="53" t="s">
        <v>48</v>
      </c>
      <c r="B11" s="52" t="s">
        <v>574</v>
      </c>
      <c r="C11" s="53" t="s">
        <v>575</v>
      </c>
      <c r="D11" s="53"/>
      <c r="E11" s="53"/>
      <c r="F11" s="55">
        <f>F12+F15+F18+F22</f>
        <v>85964.29999999999</v>
      </c>
      <c r="G11" s="55">
        <f>G12+G15+G18+G22</f>
        <v>75927.8</v>
      </c>
      <c r="H11" s="55">
        <f>H12+H15+H18+H22</f>
        <v>75927.8</v>
      </c>
      <c r="I11" s="18"/>
      <c r="J11" s="18"/>
      <c r="K11" s="18"/>
      <c r="O11" s="18"/>
      <c r="P11" s="101"/>
    </row>
    <row r="12" spans="1:16" s="15" customFormat="1" ht="54.75" customHeight="1">
      <c r="A12" s="53" t="s">
        <v>26</v>
      </c>
      <c r="B12" s="68" t="s">
        <v>46</v>
      </c>
      <c r="C12" s="53" t="s">
        <v>575</v>
      </c>
      <c r="D12" s="53" t="s">
        <v>44</v>
      </c>
      <c r="E12" s="53" t="s">
        <v>163</v>
      </c>
      <c r="F12" s="55">
        <f>F13+F14</f>
        <v>8953.8</v>
      </c>
      <c r="G12" s="55">
        <f>G13+G14</f>
        <v>8953.7</v>
      </c>
      <c r="H12" s="55">
        <f>H13+H14</f>
        <v>8953.7</v>
      </c>
      <c r="I12" s="18"/>
      <c r="J12" s="18"/>
      <c r="K12" s="18"/>
      <c r="M12" s="20"/>
      <c r="O12" s="18"/>
      <c r="P12" s="101"/>
    </row>
    <row r="13" spans="1:16" s="16" customFormat="1" ht="20.25" customHeight="1">
      <c r="A13" s="53" t="s">
        <v>27</v>
      </c>
      <c r="B13" s="68" t="s">
        <v>47</v>
      </c>
      <c r="C13" s="53" t="s">
        <v>575</v>
      </c>
      <c r="D13" s="53" t="s">
        <v>128</v>
      </c>
      <c r="E13" s="53" t="s">
        <v>164</v>
      </c>
      <c r="F13" s="48">
        <v>885</v>
      </c>
      <c r="G13" s="48">
        <v>885</v>
      </c>
      <c r="H13" s="48">
        <v>885</v>
      </c>
      <c r="I13" s="20"/>
      <c r="J13" s="22"/>
      <c r="K13" s="22">
        <v>-45.8</v>
      </c>
      <c r="M13" s="46">
        <v>-186.4</v>
      </c>
      <c r="O13" s="22"/>
      <c r="P13" s="105"/>
    </row>
    <row r="14" spans="1:16" s="16" customFormat="1" ht="20.25" customHeight="1">
      <c r="A14" s="53" t="s">
        <v>28</v>
      </c>
      <c r="B14" s="68" t="s">
        <v>47</v>
      </c>
      <c r="C14" s="53" t="s">
        <v>575</v>
      </c>
      <c r="D14" s="53" t="s">
        <v>128</v>
      </c>
      <c r="E14" s="53" t="s">
        <v>172</v>
      </c>
      <c r="F14" s="48">
        <v>8068.8</v>
      </c>
      <c r="G14" s="48">
        <v>8068.7</v>
      </c>
      <c r="H14" s="48">
        <v>8068.7</v>
      </c>
      <c r="I14" s="20"/>
      <c r="J14" s="22"/>
      <c r="K14" s="22"/>
      <c r="M14" s="46">
        <v>2398.4</v>
      </c>
      <c r="O14" s="22"/>
      <c r="P14" s="105"/>
    </row>
    <row r="15" spans="1:16" s="14" customFormat="1" ht="30.75" customHeight="1">
      <c r="A15" s="53" t="s">
        <v>29</v>
      </c>
      <c r="B15" s="52" t="s">
        <v>16</v>
      </c>
      <c r="C15" s="53" t="s">
        <v>575</v>
      </c>
      <c r="D15" s="53" t="s">
        <v>11</v>
      </c>
      <c r="E15" s="53" t="s">
        <v>163</v>
      </c>
      <c r="F15" s="55">
        <f>F16+F17</f>
        <v>24252.399999999998</v>
      </c>
      <c r="G15" s="55">
        <f>G16+G17</f>
        <v>19107.6</v>
      </c>
      <c r="H15" s="55">
        <f>H16+H17</f>
        <v>19107.6</v>
      </c>
      <c r="I15" s="21"/>
      <c r="J15" s="21"/>
      <c r="K15" s="21"/>
      <c r="O15" s="21"/>
      <c r="P15" s="108"/>
    </row>
    <row r="16" spans="1:16" s="15" customFormat="1" ht="30.75" customHeight="1">
      <c r="A16" s="53" t="s">
        <v>30</v>
      </c>
      <c r="B16" s="52" t="s">
        <v>17</v>
      </c>
      <c r="C16" s="53" t="s">
        <v>575</v>
      </c>
      <c r="D16" s="53" t="s">
        <v>7</v>
      </c>
      <c r="E16" s="53" t="s">
        <v>164</v>
      </c>
      <c r="F16" s="48">
        <v>2635.8</v>
      </c>
      <c r="G16" s="48">
        <v>2635.8</v>
      </c>
      <c r="H16" s="48">
        <v>2635.8</v>
      </c>
      <c r="I16" s="18"/>
      <c r="J16" s="18"/>
      <c r="K16" s="18">
        <v>-3623.4</v>
      </c>
      <c r="M16" s="46">
        <v>-100</v>
      </c>
      <c r="O16" s="18"/>
      <c r="P16" s="101"/>
    </row>
    <row r="17" spans="1:16" s="15" customFormat="1" ht="33.75" customHeight="1">
      <c r="A17" s="53" t="s">
        <v>13</v>
      </c>
      <c r="B17" s="52" t="s">
        <v>17</v>
      </c>
      <c r="C17" s="53" t="s">
        <v>575</v>
      </c>
      <c r="D17" s="53" t="s">
        <v>7</v>
      </c>
      <c r="E17" s="53" t="s">
        <v>172</v>
      </c>
      <c r="F17" s="48">
        <f>18871.8+3004.8-260</f>
        <v>21616.6</v>
      </c>
      <c r="G17" s="48">
        <v>16471.8</v>
      </c>
      <c r="H17" s="48">
        <v>16471.8</v>
      </c>
      <c r="I17" s="18"/>
      <c r="J17" s="18"/>
      <c r="K17" s="18"/>
      <c r="M17" s="46">
        <v>2682.4</v>
      </c>
      <c r="O17" s="18"/>
      <c r="P17" s="106">
        <v>-260</v>
      </c>
    </row>
    <row r="18" spans="1:16" s="15" customFormat="1" ht="31.5" customHeight="1">
      <c r="A18" s="53" t="s">
        <v>49</v>
      </c>
      <c r="B18" s="52" t="s">
        <v>162</v>
      </c>
      <c r="C18" s="53" t="s">
        <v>575</v>
      </c>
      <c r="D18" s="53" t="s">
        <v>31</v>
      </c>
      <c r="E18" s="53" t="s">
        <v>163</v>
      </c>
      <c r="F18" s="55">
        <f>F19+F20+F21</f>
        <v>52601.7</v>
      </c>
      <c r="G18" s="55">
        <f>G19+G20+G21</f>
        <v>47687.899999999994</v>
      </c>
      <c r="H18" s="55">
        <f>H19+H20+H21</f>
        <v>47687.899999999994</v>
      </c>
      <c r="I18" s="18"/>
      <c r="J18" s="18"/>
      <c r="K18" s="18"/>
      <c r="M18" s="20"/>
      <c r="O18" s="18"/>
      <c r="P18" s="101"/>
    </row>
    <row r="19" spans="1:16" s="15" customFormat="1" ht="21.75" customHeight="1">
      <c r="A19" s="53" t="s">
        <v>50</v>
      </c>
      <c r="B19" s="52" t="s">
        <v>33</v>
      </c>
      <c r="C19" s="53" t="s">
        <v>575</v>
      </c>
      <c r="D19" s="53" t="s">
        <v>32</v>
      </c>
      <c r="E19" s="53" t="s">
        <v>164</v>
      </c>
      <c r="F19" s="48">
        <f>17674.3+2870.8</f>
        <v>20545.1</v>
      </c>
      <c r="G19" s="48">
        <v>17674.3</v>
      </c>
      <c r="H19" s="48">
        <v>17674.3</v>
      </c>
      <c r="I19" s="18"/>
      <c r="J19" s="18"/>
      <c r="K19" s="18">
        <v>2073.9</v>
      </c>
      <c r="M19" s="46">
        <v>-1121.1</v>
      </c>
      <c r="O19" s="18"/>
      <c r="P19" s="101"/>
    </row>
    <row r="20" spans="1:16" s="15" customFormat="1" ht="18.75" customHeight="1">
      <c r="A20" s="53" t="s">
        <v>659</v>
      </c>
      <c r="B20" s="52" t="s">
        <v>33</v>
      </c>
      <c r="C20" s="53" t="s">
        <v>575</v>
      </c>
      <c r="D20" s="53" t="s">
        <v>32</v>
      </c>
      <c r="E20" s="53" t="s">
        <v>172</v>
      </c>
      <c r="F20" s="48">
        <f>19878.9+310+533</f>
        <v>20721.9</v>
      </c>
      <c r="G20" s="48">
        <v>18678.9</v>
      </c>
      <c r="H20" s="48">
        <v>18678.9</v>
      </c>
      <c r="I20" s="18"/>
      <c r="J20" s="18"/>
      <c r="K20" s="18"/>
      <c r="L20" s="18"/>
      <c r="M20" s="20">
        <v>1293.9</v>
      </c>
      <c r="N20" s="18"/>
      <c r="O20" s="18"/>
      <c r="P20" s="106">
        <v>533</v>
      </c>
    </row>
    <row r="21" spans="1:16" s="15" customFormat="1" ht="18.75" customHeight="1">
      <c r="A21" s="53" t="s">
        <v>660</v>
      </c>
      <c r="B21" s="52" t="s">
        <v>33</v>
      </c>
      <c r="C21" s="53" t="s">
        <v>575</v>
      </c>
      <c r="D21" s="53" t="s">
        <v>32</v>
      </c>
      <c r="E21" s="53" t="s">
        <v>361</v>
      </c>
      <c r="F21" s="48">
        <v>11334.7</v>
      </c>
      <c r="G21" s="48">
        <v>11334.7</v>
      </c>
      <c r="H21" s="48">
        <v>11334.7</v>
      </c>
      <c r="I21" s="18"/>
      <c r="J21" s="18"/>
      <c r="K21" s="18"/>
      <c r="M21" s="46">
        <v>-978</v>
      </c>
      <c r="O21" s="18"/>
      <c r="P21" s="101"/>
    </row>
    <row r="22" spans="1:16" s="15" customFormat="1" ht="18" customHeight="1">
      <c r="A22" s="53" t="s">
        <v>661</v>
      </c>
      <c r="B22" s="68" t="s">
        <v>119</v>
      </c>
      <c r="C22" s="53" t="s">
        <v>575</v>
      </c>
      <c r="D22" s="53" t="s">
        <v>122</v>
      </c>
      <c r="E22" s="53" t="s">
        <v>163</v>
      </c>
      <c r="F22" s="48">
        <f>F23+F24</f>
        <v>156.4</v>
      </c>
      <c r="G22" s="48">
        <f>G23+G24</f>
        <v>178.6</v>
      </c>
      <c r="H22" s="48">
        <f>H23+H24</f>
        <v>178.6</v>
      </c>
      <c r="I22" s="18"/>
      <c r="J22" s="18"/>
      <c r="K22" s="18">
        <v>-4.7</v>
      </c>
      <c r="M22" s="20"/>
      <c r="O22" s="18"/>
      <c r="P22" s="101"/>
    </row>
    <row r="23" spans="1:16" s="16" customFormat="1" ht="20.25" customHeight="1">
      <c r="A23" s="53" t="s">
        <v>662</v>
      </c>
      <c r="B23" s="68" t="s">
        <v>120</v>
      </c>
      <c r="C23" s="53" t="s">
        <v>575</v>
      </c>
      <c r="D23" s="53" t="s">
        <v>123</v>
      </c>
      <c r="E23" s="53" t="s">
        <v>164</v>
      </c>
      <c r="F23" s="48">
        <v>15</v>
      </c>
      <c r="G23" s="48">
        <v>15</v>
      </c>
      <c r="H23" s="48">
        <v>15</v>
      </c>
      <c r="I23" s="22"/>
      <c r="J23" s="22"/>
      <c r="K23" s="22"/>
      <c r="M23" s="20"/>
      <c r="O23" s="22"/>
      <c r="P23" s="105"/>
    </row>
    <row r="24" spans="1:16" s="16" customFormat="1" ht="21" customHeight="1">
      <c r="A24" s="53" t="s">
        <v>864</v>
      </c>
      <c r="B24" s="68" t="s">
        <v>120</v>
      </c>
      <c r="C24" s="53" t="s">
        <v>575</v>
      </c>
      <c r="D24" s="53" t="s">
        <v>123</v>
      </c>
      <c r="E24" s="53" t="s">
        <v>172</v>
      </c>
      <c r="F24" s="48">
        <v>141.4</v>
      </c>
      <c r="G24" s="48">
        <v>163.6</v>
      </c>
      <c r="H24" s="48">
        <v>163.6</v>
      </c>
      <c r="I24" s="22"/>
      <c r="J24" s="22"/>
      <c r="K24" s="22"/>
      <c r="M24" s="46">
        <v>27.7</v>
      </c>
      <c r="O24" s="22"/>
      <c r="P24" s="105"/>
    </row>
    <row r="25" spans="1:16" s="16" customFormat="1" ht="93" customHeight="1">
      <c r="A25" s="53" t="s">
        <v>663</v>
      </c>
      <c r="B25" s="97" t="s">
        <v>1145</v>
      </c>
      <c r="C25" s="53" t="s">
        <v>1144</v>
      </c>
      <c r="D25" s="53"/>
      <c r="E25" s="53"/>
      <c r="F25" s="48">
        <f>F26+F28</f>
        <v>408.9</v>
      </c>
      <c r="G25" s="48">
        <f>G26+G28</f>
        <v>0</v>
      </c>
      <c r="H25" s="48">
        <f>H26+H28</f>
        <v>0</v>
      </c>
      <c r="I25" s="22"/>
      <c r="J25" s="22"/>
      <c r="K25" s="22"/>
      <c r="M25" s="46"/>
      <c r="O25" s="22"/>
      <c r="P25" s="105"/>
    </row>
    <row r="26" spans="1:16" s="16" customFormat="1" ht="36" customHeight="1">
      <c r="A26" s="53" t="s">
        <v>664</v>
      </c>
      <c r="B26" s="52" t="s">
        <v>16</v>
      </c>
      <c r="C26" s="53" t="s">
        <v>1144</v>
      </c>
      <c r="D26" s="53" t="s">
        <v>11</v>
      </c>
      <c r="E26" s="53" t="s">
        <v>163</v>
      </c>
      <c r="F26" s="48">
        <f>F27</f>
        <v>131</v>
      </c>
      <c r="G26" s="48">
        <f>G27</f>
        <v>0</v>
      </c>
      <c r="H26" s="48">
        <f>H27</f>
        <v>0</v>
      </c>
      <c r="I26" s="22"/>
      <c r="J26" s="22"/>
      <c r="K26" s="22"/>
      <c r="M26" s="46"/>
      <c r="O26" s="22"/>
      <c r="P26" s="105"/>
    </row>
    <row r="27" spans="1:16" s="16" customFormat="1" ht="42.75" customHeight="1">
      <c r="A27" s="53" t="s">
        <v>665</v>
      </c>
      <c r="B27" s="52" t="s">
        <v>17</v>
      </c>
      <c r="C27" s="53" t="s">
        <v>1144</v>
      </c>
      <c r="D27" s="53" t="s">
        <v>7</v>
      </c>
      <c r="E27" s="53" t="s">
        <v>178</v>
      </c>
      <c r="F27" s="48">
        <v>131</v>
      </c>
      <c r="G27" s="48">
        <v>0</v>
      </c>
      <c r="H27" s="48">
        <v>0</v>
      </c>
      <c r="I27" s="22"/>
      <c r="J27" s="22"/>
      <c r="K27" s="22"/>
      <c r="M27" s="46"/>
      <c r="O27" s="22"/>
      <c r="P27" s="107">
        <v>131</v>
      </c>
    </row>
    <row r="28" spans="1:16" s="16" customFormat="1" ht="37.5" customHeight="1">
      <c r="A28" s="53" t="s">
        <v>666</v>
      </c>
      <c r="B28" s="52" t="s">
        <v>162</v>
      </c>
      <c r="C28" s="53" t="s">
        <v>1144</v>
      </c>
      <c r="D28" s="53" t="s">
        <v>31</v>
      </c>
      <c r="E28" s="53" t="s">
        <v>163</v>
      </c>
      <c r="F28" s="48">
        <f>F29</f>
        <v>277.9</v>
      </c>
      <c r="G28" s="48">
        <f>G29</f>
        <v>0</v>
      </c>
      <c r="H28" s="48">
        <f>H29</f>
        <v>0</v>
      </c>
      <c r="I28" s="22"/>
      <c r="J28" s="22"/>
      <c r="K28" s="22"/>
      <c r="M28" s="46"/>
      <c r="O28" s="22"/>
      <c r="P28" s="105"/>
    </row>
    <row r="29" spans="1:16" s="16" customFormat="1" ht="21" customHeight="1">
      <c r="A29" s="53" t="s">
        <v>667</v>
      </c>
      <c r="B29" s="52" t="s">
        <v>33</v>
      </c>
      <c r="C29" s="53" t="s">
        <v>1144</v>
      </c>
      <c r="D29" s="53" t="s">
        <v>32</v>
      </c>
      <c r="E29" s="53" t="s">
        <v>178</v>
      </c>
      <c r="F29" s="48">
        <v>277.9</v>
      </c>
      <c r="G29" s="48">
        <v>0</v>
      </c>
      <c r="H29" s="48">
        <v>0</v>
      </c>
      <c r="I29" s="22"/>
      <c r="J29" s="22"/>
      <c r="K29" s="22"/>
      <c r="M29" s="46"/>
      <c r="O29" s="22"/>
      <c r="P29" s="107">
        <v>277.9</v>
      </c>
    </row>
    <row r="30" spans="1:16" s="16" customFormat="1" ht="75" customHeight="1">
      <c r="A30" s="53" t="s">
        <v>668</v>
      </c>
      <c r="B30" s="52" t="s">
        <v>1134</v>
      </c>
      <c r="C30" s="53" t="s">
        <v>1133</v>
      </c>
      <c r="D30" s="53"/>
      <c r="E30" s="53"/>
      <c r="F30" s="48">
        <f>F31+F33</f>
        <v>915.2</v>
      </c>
      <c r="G30" s="48">
        <f>G31+G33</f>
        <v>0</v>
      </c>
      <c r="H30" s="48">
        <f>H31+H33</f>
        <v>0</v>
      </c>
      <c r="I30" s="22"/>
      <c r="J30" s="22"/>
      <c r="K30" s="22"/>
      <c r="M30" s="46"/>
      <c r="O30" s="22"/>
      <c r="P30" s="105"/>
    </row>
    <row r="31" spans="1:16" s="16" customFormat="1" ht="54" customHeight="1">
      <c r="A31" s="53" t="s">
        <v>669</v>
      </c>
      <c r="B31" s="68" t="s">
        <v>46</v>
      </c>
      <c r="C31" s="53" t="s">
        <v>1133</v>
      </c>
      <c r="D31" s="53" t="s">
        <v>44</v>
      </c>
      <c r="E31" s="53" t="s">
        <v>163</v>
      </c>
      <c r="F31" s="48">
        <f>F32</f>
        <v>481.7</v>
      </c>
      <c r="G31" s="48">
        <f>G32</f>
        <v>0</v>
      </c>
      <c r="H31" s="48">
        <f>H32</f>
        <v>0</v>
      </c>
      <c r="I31" s="22"/>
      <c r="J31" s="22"/>
      <c r="K31" s="22"/>
      <c r="M31" s="46"/>
      <c r="O31" s="22"/>
      <c r="P31" s="105"/>
    </row>
    <row r="32" spans="1:16" s="16" customFormat="1" ht="21" customHeight="1">
      <c r="A32" s="53" t="s">
        <v>670</v>
      </c>
      <c r="B32" s="68" t="s">
        <v>47</v>
      </c>
      <c r="C32" s="53" t="s">
        <v>1133</v>
      </c>
      <c r="D32" s="53" t="s">
        <v>128</v>
      </c>
      <c r="E32" s="53" t="s">
        <v>172</v>
      </c>
      <c r="F32" s="48">
        <v>481.7</v>
      </c>
      <c r="G32" s="48">
        <v>0</v>
      </c>
      <c r="H32" s="48">
        <v>0</v>
      </c>
      <c r="I32" s="22"/>
      <c r="J32" s="22"/>
      <c r="K32" s="22"/>
      <c r="M32" s="46"/>
      <c r="O32" s="22"/>
      <c r="P32" s="107">
        <v>481.7</v>
      </c>
    </row>
    <row r="33" spans="1:16" s="16" customFormat="1" ht="31.5" customHeight="1">
      <c r="A33" s="53" t="s">
        <v>738</v>
      </c>
      <c r="B33" s="52" t="s">
        <v>162</v>
      </c>
      <c r="C33" s="53" t="s">
        <v>1133</v>
      </c>
      <c r="D33" s="53" t="s">
        <v>31</v>
      </c>
      <c r="E33" s="53" t="s">
        <v>163</v>
      </c>
      <c r="F33" s="48">
        <f>F34</f>
        <v>433.5</v>
      </c>
      <c r="G33" s="48">
        <f>G34</f>
        <v>0</v>
      </c>
      <c r="H33" s="48">
        <f>H34</f>
        <v>0</v>
      </c>
      <c r="I33" s="22"/>
      <c r="J33" s="22"/>
      <c r="K33" s="22"/>
      <c r="M33" s="46"/>
      <c r="O33" s="22"/>
      <c r="P33" s="99"/>
    </row>
    <row r="34" spans="1:16" s="16" customFormat="1" ht="21" customHeight="1">
      <c r="A34" s="53" t="s">
        <v>865</v>
      </c>
      <c r="B34" s="52" t="s">
        <v>33</v>
      </c>
      <c r="C34" s="53" t="s">
        <v>1133</v>
      </c>
      <c r="D34" s="53" t="s">
        <v>32</v>
      </c>
      <c r="E34" s="53" t="s">
        <v>172</v>
      </c>
      <c r="F34" s="48">
        <v>433.5</v>
      </c>
      <c r="G34" s="48">
        <v>0</v>
      </c>
      <c r="H34" s="48">
        <v>0</v>
      </c>
      <c r="I34" s="22"/>
      <c r="J34" s="22"/>
      <c r="K34" s="22"/>
      <c r="M34" s="46"/>
      <c r="O34" s="22"/>
      <c r="P34" s="107">
        <v>433.5</v>
      </c>
    </row>
    <row r="35" spans="1:16" s="3" customFormat="1" ht="89.25" customHeight="1">
      <c r="A35" s="53" t="s">
        <v>866</v>
      </c>
      <c r="B35" s="52" t="s">
        <v>549</v>
      </c>
      <c r="C35" s="53" t="s">
        <v>464</v>
      </c>
      <c r="D35" s="53"/>
      <c r="E35" s="53"/>
      <c r="F35" s="48">
        <f>F36+F39</f>
        <v>18803.1</v>
      </c>
      <c r="G35" s="48">
        <f>G36+G39</f>
        <v>19603.1</v>
      </c>
      <c r="H35" s="48">
        <f>H36+H39</f>
        <v>19603.1</v>
      </c>
      <c r="I35" s="18"/>
      <c r="J35" s="18"/>
      <c r="K35" s="18"/>
      <c r="M35" s="47"/>
      <c r="O35" s="18"/>
      <c r="P35" s="101"/>
    </row>
    <row r="36" spans="1:16" s="3" customFormat="1" ht="56.25" customHeight="1">
      <c r="A36" s="53" t="s">
        <v>867</v>
      </c>
      <c r="B36" s="68" t="s">
        <v>46</v>
      </c>
      <c r="C36" s="53" t="s">
        <v>464</v>
      </c>
      <c r="D36" s="53" t="s">
        <v>44</v>
      </c>
      <c r="E36" s="53" t="s">
        <v>163</v>
      </c>
      <c r="F36" s="48">
        <f>F37+F38</f>
        <v>8514.4</v>
      </c>
      <c r="G36" s="48">
        <f>G37+G38</f>
        <v>8514.4</v>
      </c>
      <c r="H36" s="48">
        <f>H37+H38</f>
        <v>8514.4</v>
      </c>
      <c r="I36" s="18"/>
      <c r="J36" s="18"/>
      <c r="K36" s="18">
        <v>695.4</v>
      </c>
      <c r="O36" s="18"/>
      <c r="P36" s="101"/>
    </row>
    <row r="37" spans="1:16" s="3" customFormat="1" ht="19.5" customHeight="1">
      <c r="A37" s="53" t="s">
        <v>868</v>
      </c>
      <c r="B37" s="68" t="s">
        <v>47</v>
      </c>
      <c r="C37" s="53" t="s">
        <v>464</v>
      </c>
      <c r="D37" s="53" t="s">
        <v>128</v>
      </c>
      <c r="E37" s="53" t="s">
        <v>164</v>
      </c>
      <c r="F37" s="48">
        <v>1491.4</v>
      </c>
      <c r="G37" s="48">
        <v>1491.4</v>
      </c>
      <c r="H37" s="48">
        <v>1491.4</v>
      </c>
      <c r="I37" s="18"/>
      <c r="J37" s="18"/>
      <c r="K37" s="23">
        <v>-1471.2</v>
      </c>
      <c r="O37" s="18"/>
      <c r="P37" s="101"/>
    </row>
    <row r="38" spans="1:16" s="3" customFormat="1" ht="22.5" customHeight="1">
      <c r="A38" s="53" t="s">
        <v>869</v>
      </c>
      <c r="B38" s="68" t="s">
        <v>47</v>
      </c>
      <c r="C38" s="53" t="s">
        <v>464</v>
      </c>
      <c r="D38" s="53" t="s">
        <v>128</v>
      </c>
      <c r="E38" s="53" t="s">
        <v>172</v>
      </c>
      <c r="F38" s="48">
        <v>7023</v>
      </c>
      <c r="G38" s="48">
        <v>7023</v>
      </c>
      <c r="H38" s="48">
        <v>7023</v>
      </c>
      <c r="I38" s="18"/>
      <c r="J38" s="18"/>
      <c r="K38" s="23"/>
      <c r="O38" s="18"/>
      <c r="P38" s="101"/>
    </row>
    <row r="39" spans="1:16" s="3" customFormat="1" ht="30.75" customHeight="1">
      <c r="A39" s="53" t="s">
        <v>870</v>
      </c>
      <c r="B39" s="52" t="s">
        <v>162</v>
      </c>
      <c r="C39" s="53" t="s">
        <v>464</v>
      </c>
      <c r="D39" s="53" t="s">
        <v>31</v>
      </c>
      <c r="E39" s="53" t="s">
        <v>163</v>
      </c>
      <c r="F39" s="48">
        <f>F40+F41+F42</f>
        <v>10288.699999999999</v>
      </c>
      <c r="G39" s="48">
        <f>G40+G41+G42</f>
        <v>11088.699999999999</v>
      </c>
      <c r="H39" s="48">
        <f>H40+H41+H42</f>
        <v>11088.699999999999</v>
      </c>
      <c r="I39" s="18"/>
      <c r="J39" s="18"/>
      <c r="K39" s="18">
        <v>1329.6</v>
      </c>
      <c r="O39" s="18"/>
      <c r="P39" s="101"/>
    </row>
    <row r="40" spans="1:16" s="3" customFormat="1" ht="18.75" customHeight="1">
      <c r="A40" s="53" t="s">
        <v>871</v>
      </c>
      <c r="B40" s="52" t="s">
        <v>33</v>
      </c>
      <c r="C40" s="53" t="s">
        <v>464</v>
      </c>
      <c r="D40" s="53" t="s">
        <v>32</v>
      </c>
      <c r="E40" s="53" t="s">
        <v>164</v>
      </c>
      <c r="F40" s="48">
        <v>5196.9</v>
      </c>
      <c r="G40" s="48">
        <v>5196.9</v>
      </c>
      <c r="H40" s="48">
        <v>5196.9</v>
      </c>
      <c r="I40" s="18"/>
      <c r="J40" s="18"/>
      <c r="K40" s="23">
        <v>210.2</v>
      </c>
      <c r="O40" s="18"/>
      <c r="P40" s="101"/>
    </row>
    <row r="41" spans="1:16" s="3" customFormat="1" ht="18" customHeight="1">
      <c r="A41" s="53" t="s">
        <v>872</v>
      </c>
      <c r="B41" s="52" t="s">
        <v>33</v>
      </c>
      <c r="C41" s="53" t="s">
        <v>464</v>
      </c>
      <c r="D41" s="53" t="s">
        <v>32</v>
      </c>
      <c r="E41" s="53" t="s">
        <v>172</v>
      </c>
      <c r="F41" s="48">
        <f>5520.4-800</f>
        <v>4720.4</v>
      </c>
      <c r="G41" s="48">
        <v>5520.4</v>
      </c>
      <c r="H41" s="48">
        <v>5520.4</v>
      </c>
      <c r="I41" s="18"/>
      <c r="J41" s="18"/>
      <c r="K41" s="23"/>
      <c r="O41" s="18"/>
      <c r="P41" s="106">
        <v>-800</v>
      </c>
    </row>
    <row r="42" spans="1:16" s="3" customFormat="1" ht="21.75" customHeight="1">
      <c r="A42" s="53" t="s">
        <v>739</v>
      </c>
      <c r="B42" s="52" t="s">
        <v>33</v>
      </c>
      <c r="C42" s="53" t="s">
        <v>464</v>
      </c>
      <c r="D42" s="53" t="s">
        <v>32</v>
      </c>
      <c r="E42" s="53" t="s">
        <v>361</v>
      </c>
      <c r="F42" s="48">
        <v>371.4</v>
      </c>
      <c r="G42" s="48">
        <v>371.4</v>
      </c>
      <c r="H42" s="48">
        <v>371.4</v>
      </c>
      <c r="I42" s="18"/>
      <c r="J42" s="18"/>
      <c r="K42" s="23"/>
      <c r="M42" s="41">
        <v>-21.8</v>
      </c>
      <c r="O42" s="20"/>
      <c r="P42" s="101"/>
    </row>
    <row r="43" spans="1:16" s="3" customFormat="1" ht="78.75" customHeight="1">
      <c r="A43" s="53" t="s">
        <v>740</v>
      </c>
      <c r="B43" s="94" t="s">
        <v>1129</v>
      </c>
      <c r="C43" s="53" t="s">
        <v>1342</v>
      </c>
      <c r="D43" s="53"/>
      <c r="E43" s="53"/>
      <c r="F43" s="48">
        <f>F46+F44</f>
        <v>3536</v>
      </c>
      <c r="G43" s="48">
        <f>G46</f>
        <v>0</v>
      </c>
      <c r="H43" s="48">
        <f>H46</f>
        <v>0</v>
      </c>
      <c r="I43" s="18"/>
      <c r="J43" s="18"/>
      <c r="K43" s="23"/>
      <c r="M43" s="41"/>
      <c r="O43" s="20"/>
      <c r="P43" s="101"/>
    </row>
    <row r="44" spans="1:16" s="3" customFormat="1" ht="57" customHeight="1">
      <c r="A44" s="53" t="s">
        <v>741</v>
      </c>
      <c r="B44" s="68" t="s">
        <v>46</v>
      </c>
      <c r="C44" s="53" t="s">
        <v>1342</v>
      </c>
      <c r="D44" s="53" t="s">
        <v>44</v>
      </c>
      <c r="E44" s="53" t="s">
        <v>163</v>
      </c>
      <c r="F44" s="48">
        <f>F45</f>
        <v>1536</v>
      </c>
      <c r="G44" s="48">
        <f>G45</f>
        <v>0</v>
      </c>
      <c r="H44" s="48">
        <f>H45</f>
        <v>0</v>
      </c>
      <c r="P44" s="101"/>
    </row>
    <row r="45" spans="1:16" s="3" customFormat="1" ht="21.75" customHeight="1">
      <c r="A45" s="53" t="s">
        <v>742</v>
      </c>
      <c r="B45" s="68" t="s">
        <v>47</v>
      </c>
      <c r="C45" s="53" t="s">
        <v>1342</v>
      </c>
      <c r="D45" s="53" t="s">
        <v>128</v>
      </c>
      <c r="E45" s="53" t="s">
        <v>172</v>
      </c>
      <c r="F45" s="48">
        <v>1536</v>
      </c>
      <c r="G45" s="48">
        <v>0</v>
      </c>
      <c r="H45" s="48">
        <v>0</v>
      </c>
      <c r="P45" s="106">
        <v>1536</v>
      </c>
    </row>
    <row r="46" spans="1:16" s="3" customFormat="1" ht="56.25" customHeight="1">
      <c r="A46" s="53" t="s">
        <v>743</v>
      </c>
      <c r="B46" s="52" t="s">
        <v>162</v>
      </c>
      <c r="C46" s="53" t="s">
        <v>1342</v>
      </c>
      <c r="D46" s="53" t="s">
        <v>31</v>
      </c>
      <c r="E46" s="53" t="s">
        <v>163</v>
      </c>
      <c r="F46" s="48">
        <f>F47+F48+F49</f>
        <v>2000</v>
      </c>
      <c r="G46" s="48">
        <f>G47</f>
        <v>0</v>
      </c>
      <c r="H46" s="48">
        <f>H47</f>
        <v>0</v>
      </c>
      <c r="I46" s="18"/>
      <c r="J46" s="18"/>
      <c r="K46" s="23"/>
      <c r="M46" s="41"/>
      <c r="O46" s="20"/>
      <c r="P46" s="101"/>
    </row>
    <row r="47" spans="1:16" s="3" customFormat="1" ht="21.75" customHeight="1">
      <c r="A47" s="53" t="s">
        <v>744</v>
      </c>
      <c r="B47" s="52" t="s">
        <v>33</v>
      </c>
      <c r="C47" s="53" t="s">
        <v>1342</v>
      </c>
      <c r="D47" s="53" t="s">
        <v>32</v>
      </c>
      <c r="E47" s="53" t="s">
        <v>164</v>
      </c>
      <c r="F47" s="48">
        <v>700</v>
      </c>
      <c r="G47" s="48">
        <v>0</v>
      </c>
      <c r="H47" s="48">
        <v>0</v>
      </c>
      <c r="I47" s="18"/>
      <c r="J47" s="18"/>
      <c r="K47" s="23"/>
      <c r="M47" s="41"/>
      <c r="O47" s="20"/>
      <c r="P47" s="106">
        <v>700</v>
      </c>
    </row>
    <row r="48" spans="1:16" s="3" customFormat="1" ht="21.75" customHeight="1">
      <c r="A48" s="53" t="s">
        <v>745</v>
      </c>
      <c r="B48" s="52" t="s">
        <v>33</v>
      </c>
      <c r="C48" s="53" t="s">
        <v>1342</v>
      </c>
      <c r="D48" s="53" t="s">
        <v>32</v>
      </c>
      <c r="E48" s="53" t="s">
        <v>172</v>
      </c>
      <c r="F48" s="48">
        <v>800</v>
      </c>
      <c r="G48" s="48">
        <v>0</v>
      </c>
      <c r="H48" s="48">
        <v>0</v>
      </c>
      <c r="I48" s="18"/>
      <c r="J48" s="18"/>
      <c r="K48" s="23"/>
      <c r="M48" s="41"/>
      <c r="O48" s="20"/>
      <c r="P48" s="106">
        <v>800</v>
      </c>
    </row>
    <row r="49" spans="1:16" s="3" customFormat="1" ht="21.75" customHeight="1">
      <c r="A49" s="53" t="s">
        <v>746</v>
      </c>
      <c r="B49" s="52" t="s">
        <v>33</v>
      </c>
      <c r="C49" s="53" t="s">
        <v>1342</v>
      </c>
      <c r="D49" s="53" t="s">
        <v>32</v>
      </c>
      <c r="E49" s="53" t="s">
        <v>361</v>
      </c>
      <c r="F49" s="48">
        <v>500</v>
      </c>
      <c r="G49" s="48">
        <v>0</v>
      </c>
      <c r="H49" s="48">
        <v>0</v>
      </c>
      <c r="I49" s="18"/>
      <c r="J49" s="18"/>
      <c r="K49" s="23"/>
      <c r="M49" s="41"/>
      <c r="O49" s="20"/>
      <c r="P49" s="107">
        <v>500</v>
      </c>
    </row>
    <row r="50" spans="1:16" s="14" customFormat="1" ht="147.75" customHeight="1">
      <c r="A50" s="53" t="s">
        <v>747</v>
      </c>
      <c r="B50" s="72" t="s">
        <v>550</v>
      </c>
      <c r="C50" s="53" t="s">
        <v>191</v>
      </c>
      <c r="D50" s="53"/>
      <c r="E50" s="53"/>
      <c r="F50" s="48">
        <f>SUM(F51+F53+F55)</f>
        <v>20139.4</v>
      </c>
      <c r="G50" s="48">
        <f>SUM(G51+G53+G55)</f>
        <v>19014.2</v>
      </c>
      <c r="H50" s="48">
        <f>SUM(H51+H53+H55)</f>
        <v>19014.2</v>
      </c>
      <c r="I50" s="21"/>
      <c r="J50" s="21"/>
      <c r="K50" s="21"/>
      <c r="O50" s="21"/>
      <c r="P50" s="108"/>
    </row>
    <row r="51" spans="1:16" s="14" customFormat="1" ht="55.5" customHeight="1">
      <c r="A51" s="53" t="s">
        <v>748</v>
      </c>
      <c r="B51" s="68" t="s">
        <v>46</v>
      </c>
      <c r="C51" s="53" t="s">
        <v>191</v>
      </c>
      <c r="D51" s="53" t="s">
        <v>44</v>
      </c>
      <c r="E51" s="53" t="s">
        <v>163</v>
      </c>
      <c r="F51" s="48">
        <f>SUM(F52)</f>
        <v>6807.5</v>
      </c>
      <c r="G51" s="48">
        <f>SUM(G52)</f>
        <v>6196.3</v>
      </c>
      <c r="H51" s="48">
        <f>SUM(H52)</f>
        <v>6196.3</v>
      </c>
      <c r="I51" s="21"/>
      <c r="J51" s="21"/>
      <c r="K51" s="21"/>
      <c r="O51" s="21"/>
      <c r="P51" s="108"/>
    </row>
    <row r="52" spans="1:16" s="14" customFormat="1" ht="20.25" customHeight="1">
      <c r="A52" s="53" t="s">
        <v>749</v>
      </c>
      <c r="B52" s="68" t="s">
        <v>47</v>
      </c>
      <c r="C52" s="53" t="s">
        <v>191</v>
      </c>
      <c r="D52" s="53" t="s">
        <v>128</v>
      </c>
      <c r="E52" s="53" t="s">
        <v>164</v>
      </c>
      <c r="F52" s="48">
        <f>6196.3+611.2</f>
        <v>6807.5</v>
      </c>
      <c r="G52" s="48">
        <v>6196.3</v>
      </c>
      <c r="H52" s="48">
        <v>6196.3</v>
      </c>
      <c r="I52" s="21"/>
      <c r="J52" s="21"/>
      <c r="K52" s="21">
        <v>-1569.3</v>
      </c>
      <c r="O52" s="20"/>
      <c r="P52" s="107">
        <v>611.2</v>
      </c>
    </row>
    <row r="53" spans="1:16" s="14" customFormat="1" ht="30.75" customHeight="1">
      <c r="A53" s="53" t="s">
        <v>750</v>
      </c>
      <c r="B53" s="52" t="s">
        <v>16</v>
      </c>
      <c r="C53" s="53" t="s">
        <v>191</v>
      </c>
      <c r="D53" s="53" t="s">
        <v>11</v>
      </c>
      <c r="E53" s="53" t="s">
        <v>163</v>
      </c>
      <c r="F53" s="48">
        <f>SUM(F54)</f>
        <v>27</v>
      </c>
      <c r="G53" s="48">
        <f>SUM(G54)</f>
        <v>28.8</v>
      </c>
      <c r="H53" s="48">
        <f>SUM(H54)</f>
        <v>28.8</v>
      </c>
      <c r="I53" s="21"/>
      <c r="J53" s="21"/>
      <c r="K53" s="21"/>
      <c r="O53" s="21"/>
      <c r="P53" s="108"/>
    </row>
    <row r="54" spans="1:16" s="14" customFormat="1" ht="32.25" customHeight="1">
      <c r="A54" s="53" t="s">
        <v>751</v>
      </c>
      <c r="B54" s="52" t="s">
        <v>17</v>
      </c>
      <c r="C54" s="53" t="s">
        <v>191</v>
      </c>
      <c r="D54" s="53" t="s">
        <v>7</v>
      </c>
      <c r="E54" s="53" t="s">
        <v>164</v>
      </c>
      <c r="F54" s="48">
        <f>28.8-1.8</f>
        <v>27</v>
      </c>
      <c r="G54" s="48">
        <v>28.8</v>
      </c>
      <c r="H54" s="48">
        <v>28.8</v>
      </c>
      <c r="I54" s="21"/>
      <c r="J54" s="21"/>
      <c r="K54" s="21">
        <v>-44.8</v>
      </c>
      <c r="O54" s="21"/>
      <c r="P54" s="107">
        <v>-1.8</v>
      </c>
    </row>
    <row r="55" spans="1:16" s="14" customFormat="1" ht="34.5" customHeight="1">
      <c r="A55" s="53" t="s">
        <v>752</v>
      </c>
      <c r="B55" s="52" t="s">
        <v>162</v>
      </c>
      <c r="C55" s="53" t="s">
        <v>191</v>
      </c>
      <c r="D55" s="53" t="s">
        <v>31</v>
      </c>
      <c r="E55" s="53" t="s">
        <v>163</v>
      </c>
      <c r="F55" s="48">
        <f>SUM(F56)</f>
        <v>13304.9</v>
      </c>
      <c r="G55" s="48">
        <f>SUM(G56)</f>
        <v>12789.1</v>
      </c>
      <c r="H55" s="48">
        <f>SUM(H56)</f>
        <v>12789.1</v>
      </c>
      <c r="I55" s="21"/>
      <c r="J55" s="21"/>
      <c r="K55" s="21"/>
      <c r="O55" s="21"/>
      <c r="P55" s="108"/>
    </row>
    <row r="56" spans="1:16" s="14" customFormat="1" ht="23.25" customHeight="1">
      <c r="A56" s="53" t="s">
        <v>753</v>
      </c>
      <c r="B56" s="52" t="s">
        <v>33</v>
      </c>
      <c r="C56" s="53" t="s">
        <v>191</v>
      </c>
      <c r="D56" s="53" t="s">
        <v>32</v>
      </c>
      <c r="E56" s="53" t="s">
        <v>164</v>
      </c>
      <c r="F56" s="48">
        <f>12789.1+515.8</f>
        <v>13304.9</v>
      </c>
      <c r="G56" s="48">
        <v>12789.1</v>
      </c>
      <c r="H56" s="48">
        <v>12789.1</v>
      </c>
      <c r="I56" s="21"/>
      <c r="J56" s="21"/>
      <c r="K56" s="21">
        <v>2808.9</v>
      </c>
      <c r="M56" s="42">
        <v>249.7</v>
      </c>
      <c r="O56" s="20"/>
      <c r="P56" s="107">
        <v>515.8</v>
      </c>
    </row>
    <row r="57" spans="1:16" s="14" customFormat="1" ht="147.75" customHeight="1">
      <c r="A57" s="53" t="s">
        <v>671</v>
      </c>
      <c r="B57" s="52" t="s">
        <v>381</v>
      </c>
      <c r="C57" s="53" t="s">
        <v>189</v>
      </c>
      <c r="D57" s="53"/>
      <c r="E57" s="53"/>
      <c r="F57" s="48">
        <f>SUM(F58+F60+F62)</f>
        <v>24715.1</v>
      </c>
      <c r="G57" s="48">
        <f>SUM(G58+G60+G62)</f>
        <v>23885.1</v>
      </c>
      <c r="H57" s="48">
        <f>SUM(H58+H60+H62)</f>
        <v>23885.1</v>
      </c>
      <c r="I57" s="21"/>
      <c r="J57" s="21"/>
      <c r="K57" s="21"/>
      <c r="O57" s="21"/>
      <c r="P57" s="108"/>
    </row>
    <row r="58" spans="1:16" s="14" customFormat="1" ht="54" customHeight="1">
      <c r="A58" s="53" t="s">
        <v>672</v>
      </c>
      <c r="B58" s="68" t="s">
        <v>46</v>
      </c>
      <c r="C58" s="53" t="s">
        <v>189</v>
      </c>
      <c r="D58" s="53" t="s">
        <v>44</v>
      </c>
      <c r="E58" s="53" t="s">
        <v>163</v>
      </c>
      <c r="F58" s="48">
        <f>SUM(F59)</f>
        <v>14365.3</v>
      </c>
      <c r="G58" s="48">
        <f>SUM(G59)</f>
        <v>13602.3</v>
      </c>
      <c r="H58" s="48">
        <f>SUM(H59)</f>
        <v>13602.3</v>
      </c>
      <c r="I58" s="21"/>
      <c r="J58" s="21"/>
      <c r="K58" s="21"/>
      <c r="O58" s="21"/>
      <c r="P58" s="108"/>
    </row>
    <row r="59" spans="1:16" s="14" customFormat="1" ht="18.75" customHeight="1">
      <c r="A59" s="53" t="s">
        <v>673</v>
      </c>
      <c r="B59" s="68" t="s">
        <v>47</v>
      </c>
      <c r="C59" s="53" t="s">
        <v>189</v>
      </c>
      <c r="D59" s="53" t="s">
        <v>128</v>
      </c>
      <c r="E59" s="53" t="s">
        <v>172</v>
      </c>
      <c r="F59" s="48">
        <f>13602.3+763</f>
        <v>14365.3</v>
      </c>
      <c r="G59" s="48">
        <v>13602.3</v>
      </c>
      <c r="H59" s="48">
        <v>13602.3</v>
      </c>
      <c r="I59" s="21"/>
      <c r="J59" s="21"/>
      <c r="K59" s="21">
        <v>183.9</v>
      </c>
      <c r="M59" s="42">
        <v>37.8</v>
      </c>
      <c r="O59" s="20"/>
      <c r="P59" s="107">
        <v>763</v>
      </c>
    </row>
    <row r="60" spans="1:16" s="14" customFormat="1" ht="32.25" customHeight="1">
      <c r="A60" s="53" t="s">
        <v>674</v>
      </c>
      <c r="B60" s="52" t="s">
        <v>16</v>
      </c>
      <c r="C60" s="53" t="s">
        <v>189</v>
      </c>
      <c r="D60" s="53" t="s">
        <v>11</v>
      </c>
      <c r="E60" s="53" t="s">
        <v>163</v>
      </c>
      <c r="F60" s="48">
        <f>SUM(F61)</f>
        <v>238.7</v>
      </c>
      <c r="G60" s="48">
        <f>SUM(G61)</f>
        <v>240</v>
      </c>
      <c r="H60" s="48">
        <f>SUM(H61)</f>
        <v>240</v>
      </c>
      <c r="I60" s="21"/>
      <c r="J60" s="21"/>
      <c r="K60" s="21"/>
      <c r="O60" s="21"/>
      <c r="P60" s="108"/>
    </row>
    <row r="61" spans="1:16" s="14" customFormat="1" ht="34.5" customHeight="1">
      <c r="A61" s="53" t="s">
        <v>675</v>
      </c>
      <c r="B61" s="52" t="s">
        <v>17</v>
      </c>
      <c r="C61" s="53" t="s">
        <v>189</v>
      </c>
      <c r="D61" s="53" t="s">
        <v>7</v>
      </c>
      <c r="E61" s="53" t="s">
        <v>172</v>
      </c>
      <c r="F61" s="48">
        <f>240-1.3</f>
        <v>238.7</v>
      </c>
      <c r="G61" s="48">
        <v>240</v>
      </c>
      <c r="H61" s="48">
        <v>240</v>
      </c>
      <c r="I61" s="21"/>
      <c r="J61" s="21"/>
      <c r="K61" s="21"/>
      <c r="O61" s="21"/>
      <c r="P61" s="107">
        <v>-1.3</v>
      </c>
    </row>
    <row r="62" spans="1:16" s="14" customFormat="1" ht="32.25" customHeight="1">
      <c r="A62" s="53" t="s">
        <v>676</v>
      </c>
      <c r="B62" s="52" t="s">
        <v>162</v>
      </c>
      <c r="C62" s="53" t="s">
        <v>189</v>
      </c>
      <c r="D62" s="53" t="s">
        <v>31</v>
      </c>
      <c r="E62" s="53" t="s">
        <v>163</v>
      </c>
      <c r="F62" s="48">
        <f>SUM(F63)</f>
        <v>10111.099999999999</v>
      </c>
      <c r="G62" s="48">
        <f>SUM(G63)</f>
        <v>10042.8</v>
      </c>
      <c r="H62" s="48">
        <f>SUM(H63)</f>
        <v>10042.8</v>
      </c>
      <c r="I62" s="21"/>
      <c r="J62" s="21"/>
      <c r="K62" s="21"/>
      <c r="O62" s="21"/>
      <c r="P62" s="108"/>
    </row>
    <row r="63" spans="1:16" s="14" customFormat="1" ht="20.25" customHeight="1">
      <c r="A63" s="53" t="s">
        <v>677</v>
      </c>
      <c r="B63" s="52" t="s">
        <v>33</v>
      </c>
      <c r="C63" s="53" t="s">
        <v>189</v>
      </c>
      <c r="D63" s="53" t="s">
        <v>32</v>
      </c>
      <c r="E63" s="53" t="s">
        <v>172</v>
      </c>
      <c r="F63" s="48">
        <f>10042.8+68.3</f>
        <v>10111.099999999999</v>
      </c>
      <c r="G63" s="48">
        <v>10042.8</v>
      </c>
      <c r="H63" s="48">
        <v>10042.8</v>
      </c>
      <c r="I63" s="21"/>
      <c r="J63" s="21"/>
      <c r="K63" s="21"/>
      <c r="O63" s="20"/>
      <c r="P63" s="107">
        <v>68.3</v>
      </c>
    </row>
    <row r="64" spans="1:16" s="14" customFormat="1" ht="132.75" customHeight="1">
      <c r="A64" s="53" t="s">
        <v>678</v>
      </c>
      <c r="B64" s="52" t="s">
        <v>551</v>
      </c>
      <c r="C64" s="53" t="s">
        <v>196</v>
      </c>
      <c r="D64" s="53"/>
      <c r="E64" s="53"/>
      <c r="F64" s="48">
        <f>SUM(F65+F67)</f>
        <v>70.6</v>
      </c>
      <c r="G64" s="48">
        <f>SUM(G65+G67)</f>
        <v>70.6</v>
      </c>
      <c r="H64" s="48">
        <f>SUM(H65+H67)</f>
        <v>70.6</v>
      </c>
      <c r="I64" s="21"/>
      <c r="J64" s="21"/>
      <c r="K64" s="21"/>
      <c r="O64" s="21"/>
      <c r="P64" s="108"/>
    </row>
    <row r="65" spans="1:16" s="14" customFormat="1" ht="33" customHeight="1">
      <c r="A65" s="53" t="s">
        <v>679</v>
      </c>
      <c r="B65" s="52" t="s">
        <v>16</v>
      </c>
      <c r="C65" s="53" t="s">
        <v>196</v>
      </c>
      <c r="D65" s="53" t="s">
        <v>11</v>
      </c>
      <c r="E65" s="53" t="s">
        <v>9</v>
      </c>
      <c r="F65" s="48">
        <f aca="true" t="shared" si="0" ref="F65:H67">SUM(F66)</f>
        <v>30.5</v>
      </c>
      <c r="G65" s="48">
        <f t="shared" si="0"/>
        <v>30.5</v>
      </c>
      <c r="H65" s="48">
        <f t="shared" si="0"/>
        <v>30.5</v>
      </c>
      <c r="I65" s="21"/>
      <c r="J65" s="21"/>
      <c r="K65" s="21"/>
      <c r="O65" s="21"/>
      <c r="P65" s="108"/>
    </row>
    <row r="66" spans="1:16" s="14" customFormat="1" ht="33.75" customHeight="1">
      <c r="A66" s="53" t="s">
        <v>680</v>
      </c>
      <c r="B66" s="52" t="s">
        <v>17</v>
      </c>
      <c r="C66" s="53" t="s">
        <v>196</v>
      </c>
      <c r="D66" s="53" t="s">
        <v>7</v>
      </c>
      <c r="E66" s="53" t="s">
        <v>149</v>
      </c>
      <c r="F66" s="48">
        <v>30.5</v>
      </c>
      <c r="G66" s="48">
        <v>30.5</v>
      </c>
      <c r="H66" s="48">
        <v>30.5</v>
      </c>
      <c r="I66" s="21"/>
      <c r="J66" s="21"/>
      <c r="K66" s="21"/>
      <c r="O66" s="21"/>
      <c r="P66" s="108"/>
    </row>
    <row r="67" spans="1:16" s="14" customFormat="1" ht="33" customHeight="1">
      <c r="A67" s="53" t="s">
        <v>681</v>
      </c>
      <c r="B67" s="52" t="s">
        <v>162</v>
      </c>
      <c r="C67" s="53" t="s">
        <v>196</v>
      </c>
      <c r="D67" s="53" t="s">
        <v>31</v>
      </c>
      <c r="E67" s="53" t="s">
        <v>9</v>
      </c>
      <c r="F67" s="48">
        <f t="shared" si="0"/>
        <v>40.1</v>
      </c>
      <c r="G67" s="48">
        <f t="shared" si="0"/>
        <v>40.1</v>
      </c>
      <c r="H67" s="48">
        <f t="shared" si="0"/>
        <v>40.1</v>
      </c>
      <c r="I67" s="21"/>
      <c r="J67" s="21"/>
      <c r="K67" s="21"/>
      <c r="O67" s="21"/>
      <c r="P67" s="108"/>
    </row>
    <row r="68" spans="1:16" s="14" customFormat="1" ht="21.75" customHeight="1">
      <c r="A68" s="53" t="s">
        <v>682</v>
      </c>
      <c r="B68" s="52" t="s">
        <v>33</v>
      </c>
      <c r="C68" s="53" t="s">
        <v>196</v>
      </c>
      <c r="D68" s="53" t="s">
        <v>32</v>
      </c>
      <c r="E68" s="53" t="s">
        <v>149</v>
      </c>
      <c r="F68" s="48">
        <v>40.1</v>
      </c>
      <c r="G68" s="48">
        <v>40.1</v>
      </c>
      <c r="H68" s="48">
        <v>40.1</v>
      </c>
      <c r="I68" s="21"/>
      <c r="J68" s="21"/>
      <c r="K68" s="21"/>
      <c r="O68" s="21"/>
      <c r="P68" s="108"/>
    </row>
    <row r="69" spans="1:16" s="14" customFormat="1" ht="95.25" customHeight="1">
      <c r="A69" s="53" t="s">
        <v>873</v>
      </c>
      <c r="B69" s="52" t="s">
        <v>552</v>
      </c>
      <c r="C69" s="53" t="s">
        <v>198</v>
      </c>
      <c r="D69" s="53"/>
      <c r="E69" s="53"/>
      <c r="F69" s="48">
        <f>SUM(F70+F72)</f>
        <v>149.5</v>
      </c>
      <c r="G69" s="48">
        <f>SUM(G70+G72)</f>
        <v>149.5</v>
      </c>
      <c r="H69" s="48">
        <f>SUM(H70+H72)</f>
        <v>149.5</v>
      </c>
      <c r="I69" s="21"/>
      <c r="J69" s="21"/>
      <c r="K69" s="21"/>
      <c r="O69" s="21"/>
      <c r="P69" s="108"/>
    </row>
    <row r="70" spans="1:16" s="14" customFormat="1" ht="33" customHeight="1">
      <c r="A70" s="53" t="s">
        <v>683</v>
      </c>
      <c r="B70" s="52" t="s">
        <v>16</v>
      </c>
      <c r="C70" s="53" t="s">
        <v>198</v>
      </c>
      <c r="D70" s="53" t="s">
        <v>11</v>
      </c>
      <c r="E70" s="53" t="s">
        <v>9</v>
      </c>
      <c r="F70" s="48">
        <f>SUM(F71)</f>
        <v>2.9</v>
      </c>
      <c r="G70" s="48">
        <f>SUM(G71)</f>
        <v>2.9</v>
      </c>
      <c r="H70" s="48">
        <f>SUM(H71)</f>
        <v>2.9</v>
      </c>
      <c r="I70" s="21"/>
      <c r="J70" s="21"/>
      <c r="K70" s="21"/>
      <c r="O70" s="21"/>
      <c r="P70" s="108"/>
    </row>
    <row r="71" spans="1:16" s="14" customFormat="1" ht="30.75" customHeight="1">
      <c r="A71" s="53" t="s">
        <v>684</v>
      </c>
      <c r="B71" s="52" t="s">
        <v>17</v>
      </c>
      <c r="C71" s="53" t="s">
        <v>198</v>
      </c>
      <c r="D71" s="53" t="s">
        <v>7</v>
      </c>
      <c r="E71" s="53" t="s">
        <v>152</v>
      </c>
      <c r="F71" s="48">
        <v>2.9</v>
      </c>
      <c r="G71" s="48">
        <v>2.9</v>
      </c>
      <c r="H71" s="48">
        <v>2.9</v>
      </c>
      <c r="I71" s="21"/>
      <c r="J71" s="21"/>
      <c r="K71" s="21"/>
      <c r="O71" s="21"/>
      <c r="P71" s="108"/>
    </row>
    <row r="72" spans="1:16" s="14" customFormat="1" ht="19.5" customHeight="1">
      <c r="A72" s="53" t="s">
        <v>685</v>
      </c>
      <c r="B72" s="68" t="s">
        <v>183</v>
      </c>
      <c r="C72" s="53" t="s">
        <v>198</v>
      </c>
      <c r="D72" s="53" t="s">
        <v>184</v>
      </c>
      <c r="E72" s="53" t="s">
        <v>9</v>
      </c>
      <c r="F72" s="48">
        <f>SUM(F73)</f>
        <v>146.6</v>
      </c>
      <c r="G72" s="48">
        <f>SUM(G73)</f>
        <v>146.6</v>
      </c>
      <c r="H72" s="48">
        <f>SUM(H73)</f>
        <v>146.6</v>
      </c>
      <c r="I72" s="21"/>
      <c r="J72" s="21"/>
      <c r="K72" s="21"/>
      <c r="O72" s="21"/>
      <c r="P72" s="108"/>
    </row>
    <row r="73" spans="1:16" s="14" customFormat="1" ht="30.75" customHeight="1">
      <c r="A73" s="53" t="s">
        <v>754</v>
      </c>
      <c r="B73" s="68" t="s">
        <v>150</v>
      </c>
      <c r="C73" s="53" t="s">
        <v>198</v>
      </c>
      <c r="D73" s="53" t="s">
        <v>151</v>
      </c>
      <c r="E73" s="53" t="s">
        <v>152</v>
      </c>
      <c r="F73" s="48">
        <v>146.6</v>
      </c>
      <c r="G73" s="48">
        <v>146.6</v>
      </c>
      <c r="H73" s="48">
        <v>146.6</v>
      </c>
      <c r="I73" s="21"/>
      <c r="J73" s="21"/>
      <c r="K73" s="21"/>
      <c r="O73" s="21"/>
      <c r="P73" s="108"/>
    </row>
    <row r="74" spans="1:16" s="14" customFormat="1" ht="148.5" customHeight="1">
      <c r="A74" s="53" t="s">
        <v>686</v>
      </c>
      <c r="B74" s="52" t="s">
        <v>382</v>
      </c>
      <c r="C74" s="53" t="s">
        <v>190</v>
      </c>
      <c r="D74" s="53"/>
      <c r="E74" s="53"/>
      <c r="F74" s="48">
        <f>SUM(F75+F78+F80)</f>
        <v>132070.4</v>
      </c>
      <c r="G74" s="48">
        <f>SUM(G75+G78+G80)</f>
        <v>125484.49999999999</v>
      </c>
      <c r="H74" s="48">
        <f>SUM(H75+H78+H80)</f>
        <v>125484.49999999999</v>
      </c>
      <c r="I74" s="21"/>
      <c r="J74" s="21"/>
      <c r="K74" s="21"/>
      <c r="O74" s="21"/>
      <c r="P74" s="108"/>
    </row>
    <row r="75" spans="1:16" s="14" customFormat="1" ht="57.75" customHeight="1">
      <c r="A75" s="53" t="s">
        <v>874</v>
      </c>
      <c r="B75" s="68" t="s">
        <v>46</v>
      </c>
      <c r="C75" s="53" t="s">
        <v>190</v>
      </c>
      <c r="D75" s="53" t="s">
        <v>44</v>
      </c>
      <c r="E75" s="53" t="s">
        <v>163</v>
      </c>
      <c r="F75" s="48">
        <f>SUM(F76+F77)</f>
        <v>74367.9</v>
      </c>
      <c r="G75" s="48">
        <f>SUM(G76+G77)</f>
        <v>68851.7</v>
      </c>
      <c r="H75" s="48">
        <f>SUM(H76+H77)</f>
        <v>68851.7</v>
      </c>
      <c r="I75" s="21"/>
      <c r="J75" s="21"/>
      <c r="K75" s="21"/>
      <c r="O75" s="21"/>
      <c r="P75" s="108"/>
    </row>
    <row r="76" spans="1:16" s="14" customFormat="1" ht="22.5" customHeight="1">
      <c r="A76" s="53" t="s">
        <v>687</v>
      </c>
      <c r="B76" s="68" t="s">
        <v>47</v>
      </c>
      <c r="C76" s="53" t="s">
        <v>190</v>
      </c>
      <c r="D76" s="53" t="s">
        <v>128</v>
      </c>
      <c r="E76" s="53" t="s">
        <v>172</v>
      </c>
      <c r="F76" s="48">
        <f>67333.9+2938.3</f>
        <v>70272.2</v>
      </c>
      <c r="G76" s="48">
        <v>65682.3</v>
      </c>
      <c r="H76" s="48">
        <v>65682.3</v>
      </c>
      <c r="I76" s="21"/>
      <c r="J76" s="21"/>
      <c r="K76" s="21">
        <v>-831.5</v>
      </c>
      <c r="M76" s="42">
        <v>7232.3</v>
      </c>
      <c r="O76" s="20"/>
      <c r="P76" s="107">
        <v>2938.3</v>
      </c>
    </row>
    <row r="77" spans="1:16" s="14" customFormat="1" ht="19.5" customHeight="1">
      <c r="A77" s="53" t="s">
        <v>688</v>
      </c>
      <c r="B77" s="68" t="s">
        <v>47</v>
      </c>
      <c r="C77" s="53" t="s">
        <v>190</v>
      </c>
      <c r="D77" s="53" t="s">
        <v>128</v>
      </c>
      <c r="E77" s="53" t="s">
        <v>361</v>
      </c>
      <c r="F77" s="48">
        <f>3169.4+926.3</f>
        <v>4095.7</v>
      </c>
      <c r="G77" s="48">
        <v>3169.4</v>
      </c>
      <c r="H77" s="48">
        <v>3169.4</v>
      </c>
      <c r="I77" s="21"/>
      <c r="J77" s="21"/>
      <c r="K77" s="21"/>
      <c r="O77" s="20"/>
      <c r="P77" s="107">
        <v>926.3</v>
      </c>
    </row>
    <row r="78" spans="1:16" s="14" customFormat="1" ht="31.5" customHeight="1">
      <c r="A78" s="53" t="s">
        <v>689</v>
      </c>
      <c r="B78" s="52" t="s">
        <v>16</v>
      </c>
      <c r="C78" s="53" t="s">
        <v>190</v>
      </c>
      <c r="D78" s="53" t="s">
        <v>11</v>
      </c>
      <c r="E78" s="53" t="s">
        <v>163</v>
      </c>
      <c r="F78" s="48">
        <f>SUM(F79)</f>
        <v>3917.5</v>
      </c>
      <c r="G78" s="48">
        <f>SUM(G79)</f>
        <v>3628.4</v>
      </c>
      <c r="H78" s="48">
        <f>SUM(H79)</f>
        <v>3628.4</v>
      </c>
      <c r="I78" s="21"/>
      <c r="J78" s="21"/>
      <c r="K78" s="21"/>
      <c r="O78" s="21"/>
      <c r="P78" s="108"/>
    </row>
    <row r="79" spans="1:16" s="14" customFormat="1" ht="30.75" customHeight="1">
      <c r="A79" s="53" t="s">
        <v>268</v>
      </c>
      <c r="B79" s="52" t="s">
        <v>17</v>
      </c>
      <c r="C79" s="53" t="s">
        <v>190</v>
      </c>
      <c r="D79" s="53" t="s">
        <v>7</v>
      </c>
      <c r="E79" s="53" t="s">
        <v>172</v>
      </c>
      <c r="F79" s="48">
        <f>3628.4+289.1</f>
        <v>3917.5</v>
      </c>
      <c r="G79" s="48">
        <v>3628.4</v>
      </c>
      <c r="H79" s="48">
        <v>3628.4</v>
      </c>
      <c r="I79" s="21"/>
      <c r="J79" s="21"/>
      <c r="K79" s="21">
        <v>-12.6</v>
      </c>
      <c r="M79" s="42">
        <v>330.4</v>
      </c>
      <c r="O79" s="20"/>
      <c r="P79" s="107">
        <v>289.1</v>
      </c>
    </row>
    <row r="80" spans="1:16" s="14" customFormat="1" ht="31.5" customHeight="1">
      <c r="A80" s="53" t="s">
        <v>269</v>
      </c>
      <c r="B80" s="52" t="s">
        <v>162</v>
      </c>
      <c r="C80" s="53" t="s">
        <v>190</v>
      </c>
      <c r="D80" s="53" t="s">
        <v>31</v>
      </c>
      <c r="E80" s="53" t="s">
        <v>163</v>
      </c>
      <c r="F80" s="48">
        <f>SUM(F81+F82)</f>
        <v>53784.99999999999</v>
      </c>
      <c r="G80" s="48">
        <f>SUM(G81+G82)</f>
        <v>53004.399999999994</v>
      </c>
      <c r="H80" s="48">
        <f>SUM(H81+H82)</f>
        <v>53004.399999999994</v>
      </c>
      <c r="I80" s="21"/>
      <c r="J80" s="21"/>
      <c r="K80" s="21"/>
      <c r="O80" s="21"/>
      <c r="P80" s="108"/>
    </row>
    <row r="81" spans="1:16" s="14" customFormat="1" ht="21.75" customHeight="1">
      <c r="A81" s="53" t="s">
        <v>270</v>
      </c>
      <c r="B81" s="52" t="s">
        <v>33</v>
      </c>
      <c r="C81" s="53" t="s">
        <v>190</v>
      </c>
      <c r="D81" s="53" t="s">
        <v>32</v>
      </c>
      <c r="E81" s="53" t="s">
        <v>172</v>
      </c>
      <c r="F81" s="48">
        <f>50203.2+780.6</f>
        <v>50983.799999999996</v>
      </c>
      <c r="G81" s="48">
        <v>50203.2</v>
      </c>
      <c r="H81" s="48">
        <v>50203.2</v>
      </c>
      <c r="I81" s="21"/>
      <c r="J81" s="21"/>
      <c r="K81" s="21">
        <v>-711.8</v>
      </c>
      <c r="M81" s="42">
        <v>-563</v>
      </c>
      <c r="O81" s="20"/>
      <c r="P81" s="107">
        <v>780.6</v>
      </c>
    </row>
    <row r="82" spans="1:16" s="14" customFormat="1" ht="19.5" customHeight="1">
      <c r="A82" s="53" t="s">
        <v>271</v>
      </c>
      <c r="B82" s="52" t="s">
        <v>33</v>
      </c>
      <c r="C82" s="53" t="s">
        <v>190</v>
      </c>
      <c r="D82" s="53" t="s">
        <v>32</v>
      </c>
      <c r="E82" s="53" t="s">
        <v>361</v>
      </c>
      <c r="F82" s="48">
        <v>2801.2</v>
      </c>
      <c r="G82" s="48">
        <v>2801.2</v>
      </c>
      <c r="H82" s="48">
        <v>2801.2</v>
      </c>
      <c r="I82" s="21"/>
      <c r="J82" s="21"/>
      <c r="K82" s="21"/>
      <c r="O82" s="20"/>
      <c r="P82" s="108"/>
    </row>
    <row r="83" spans="1:16" s="14" customFormat="1" ht="89.25">
      <c r="A83" s="53" t="s">
        <v>272</v>
      </c>
      <c r="B83" s="52" t="s">
        <v>553</v>
      </c>
      <c r="C83" s="53" t="s">
        <v>197</v>
      </c>
      <c r="D83" s="53"/>
      <c r="E83" s="53"/>
      <c r="F83" s="48">
        <f>SUM(F84+F86+F88)</f>
        <v>4401.7</v>
      </c>
      <c r="G83" s="48">
        <f>SUM(G84+G86+G88)</f>
        <v>6476.799999999999</v>
      </c>
      <c r="H83" s="48">
        <f>SUM(H84+H86+H88)</f>
        <v>6476.799999999999</v>
      </c>
      <c r="I83" s="21"/>
      <c r="J83" s="21"/>
      <c r="K83" s="21"/>
      <c r="O83" s="21"/>
      <c r="P83" s="108"/>
    </row>
    <row r="84" spans="1:16" s="14" customFormat="1" ht="32.25" customHeight="1">
      <c r="A84" s="53" t="s">
        <v>755</v>
      </c>
      <c r="B84" s="52" t="s">
        <v>16</v>
      </c>
      <c r="C84" s="53" t="s">
        <v>197</v>
      </c>
      <c r="D84" s="53" t="s">
        <v>11</v>
      </c>
      <c r="E84" s="53" t="s">
        <v>9</v>
      </c>
      <c r="F84" s="48">
        <f>SUM(F85)</f>
        <v>2471.7999999999997</v>
      </c>
      <c r="G84" s="48">
        <f>SUM(G85)</f>
        <v>3132.7</v>
      </c>
      <c r="H84" s="48">
        <f>SUM(H85)</f>
        <v>3132.7</v>
      </c>
      <c r="I84" s="21"/>
      <c r="J84" s="21"/>
      <c r="K84" s="21"/>
      <c r="O84" s="21"/>
      <c r="P84" s="108"/>
    </row>
    <row r="85" spans="1:16" s="14" customFormat="1" ht="30.75" customHeight="1">
      <c r="A85" s="53" t="s">
        <v>756</v>
      </c>
      <c r="B85" s="52" t="s">
        <v>17</v>
      </c>
      <c r="C85" s="53" t="s">
        <v>197</v>
      </c>
      <c r="D85" s="53" t="s">
        <v>7</v>
      </c>
      <c r="E85" s="53" t="s">
        <v>149</v>
      </c>
      <c r="F85" s="48">
        <f>3132.7-660.9</f>
        <v>2471.7999999999997</v>
      </c>
      <c r="G85" s="48">
        <v>3132.7</v>
      </c>
      <c r="H85" s="48">
        <v>3132.7</v>
      </c>
      <c r="I85" s="21"/>
      <c r="J85" s="21"/>
      <c r="K85" s="21">
        <v>-21.2</v>
      </c>
      <c r="M85" s="14">
        <v>1.3</v>
      </c>
      <c r="O85" s="20"/>
      <c r="P85" s="107">
        <v>-660.9</v>
      </c>
    </row>
    <row r="86" spans="1:16" s="14" customFormat="1" ht="24" customHeight="1">
      <c r="A86" s="53" t="s">
        <v>690</v>
      </c>
      <c r="B86" s="68" t="s">
        <v>183</v>
      </c>
      <c r="C86" s="53" t="s">
        <v>197</v>
      </c>
      <c r="D86" s="53" t="s">
        <v>184</v>
      </c>
      <c r="E86" s="53" t="s">
        <v>9</v>
      </c>
      <c r="F86" s="48">
        <f>SUM(F87)</f>
        <v>0</v>
      </c>
      <c r="G86" s="48">
        <f>SUM(G87)</f>
        <v>200</v>
      </c>
      <c r="H86" s="48">
        <f>SUM(H87)</f>
        <v>200</v>
      </c>
      <c r="I86" s="21"/>
      <c r="J86" s="21"/>
      <c r="K86" s="21"/>
      <c r="O86" s="21"/>
      <c r="P86" s="108"/>
    </row>
    <row r="87" spans="1:16" s="14" customFormat="1" ht="25.5">
      <c r="A87" s="53" t="s">
        <v>691</v>
      </c>
      <c r="B87" s="68" t="s">
        <v>150</v>
      </c>
      <c r="C87" s="53" t="s">
        <v>197</v>
      </c>
      <c r="D87" s="53" t="s">
        <v>151</v>
      </c>
      <c r="E87" s="53" t="s">
        <v>149</v>
      </c>
      <c r="F87" s="48">
        <f>200-200</f>
        <v>0</v>
      </c>
      <c r="G87" s="48">
        <v>200</v>
      </c>
      <c r="H87" s="48">
        <v>200</v>
      </c>
      <c r="I87" s="21"/>
      <c r="J87" s="21"/>
      <c r="K87" s="21"/>
      <c r="O87" s="20"/>
      <c r="P87" s="107">
        <v>-200</v>
      </c>
    </row>
    <row r="88" spans="1:16" s="14" customFormat="1" ht="35.25" customHeight="1">
      <c r="A88" s="53" t="s">
        <v>692</v>
      </c>
      <c r="B88" s="52" t="s">
        <v>162</v>
      </c>
      <c r="C88" s="53" t="s">
        <v>197</v>
      </c>
      <c r="D88" s="53" t="s">
        <v>31</v>
      </c>
      <c r="E88" s="53" t="s">
        <v>9</v>
      </c>
      <c r="F88" s="48">
        <f>SUM(F89)</f>
        <v>1929.8999999999999</v>
      </c>
      <c r="G88" s="48">
        <f>SUM(G89)</f>
        <v>3144.1</v>
      </c>
      <c r="H88" s="48">
        <f>SUM(H89)</f>
        <v>3144.1</v>
      </c>
      <c r="I88" s="21"/>
      <c r="J88" s="21"/>
      <c r="K88" s="21"/>
      <c r="O88" s="21"/>
      <c r="P88" s="108"/>
    </row>
    <row r="89" spans="1:16" s="14" customFormat="1" ht="24" customHeight="1">
      <c r="A89" s="53" t="s">
        <v>693</v>
      </c>
      <c r="B89" s="52" t="s">
        <v>33</v>
      </c>
      <c r="C89" s="53" t="s">
        <v>197</v>
      </c>
      <c r="D89" s="53" t="s">
        <v>32</v>
      </c>
      <c r="E89" s="53" t="s">
        <v>149</v>
      </c>
      <c r="F89" s="48">
        <f>3144.1-1214.2</f>
        <v>1929.8999999999999</v>
      </c>
      <c r="G89" s="48">
        <v>3144.1</v>
      </c>
      <c r="H89" s="48">
        <v>3144.1</v>
      </c>
      <c r="I89" s="21"/>
      <c r="J89" s="21"/>
      <c r="K89" s="21"/>
      <c r="O89" s="21"/>
      <c r="P89" s="107">
        <v>-1214.2</v>
      </c>
    </row>
    <row r="90" spans="1:16" s="14" customFormat="1" ht="142.5" customHeight="1">
      <c r="A90" s="53" t="s">
        <v>694</v>
      </c>
      <c r="B90" s="73" t="s">
        <v>383</v>
      </c>
      <c r="C90" s="53" t="s">
        <v>192</v>
      </c>
      <c r="D90" s="53"/>
      <c r="E90" s="53"/>
      <c r="F90" s="48">
        <f>SUM(F91+F93+F95)</f>
        <v>25493.6</v>
      </c>
      <c r="G90" s="48">
        <f>SUM(G91+G93+G95)</f>
        <v>24368.4</v>
      </c>
      <c r="H90" s="48">
        <f>SUM(H91+H93+H95)</f>
        <v>24368.4</v>
      </c>
      <c r="I90" s="21"/>
      <c r="J90" s="21"/>
      <c r="K90" s="21"/>
      <c r="O90" s="21"/>
      <c r="P90" s="108"/>
    </row>
    <row r="91" spans="1:16" s="14" customFormat="1" ht="57" customHeight="1">
      <c r="A91" s="53" t="s">
        <v>695</v>
      </c>
      <c r="B91" s="68" t="s">
        <v>46</v>
      </c>
      <c r="C91" s="53" t="s">
        <v>192</v>
      </c>
      <c r="D91" s="53" t="s">
        <v>44</v>
      </c>
      <c r="E91" s="53" t="s">
        <v>163</v>
      </c>
      <c r="F91" s="48">
        <f>SUM(F92)</f>
        <v>8055.8</v>
      </c>
      <c r="G91" s="48">
        <f>SUM(G92)</f>
        <v>7556.8</v>
      </c>
      <c r="H91" s="48">
        <f>SUM(H92)</f>
        <v>7556.8</v>
      </c>
      <c r="I91" s="21"/>
      <c r="J91" s="21"/>
      <c r="K91" s="21"/>
      <c r="O91" s="21"/>
      <c r="P91" s="108"/>
    </row>
    <row r="92" spans="1:16" s="14" customFormat="1" ht="21.75" customHeight="1">
      <c r="A92" s="53" t="s">
        <v>365</v>
      </c>
      <c r="B92" s="68" t="s">
        <v>47</v>
      </c>
      <c r="C92" s="53" t="s">
        <v>192</v>
      </c>
      <c r="D92" s="53" t="s">
        <v>128</v>
      </c>
      <c r="E92" s="53" t="s">
        <v>164</v>
      </c>
      <c r="F92" s="48">
        <f>7556.8+499</f>
        <v>8055.8</v>
      </c>
      <c r="G92" s="48">
        <v>7556.8</v>
      </c>
      <c r="H92" s="48">
        <v>7556.8</v>
      </c>
      <c r="I92" s="21"/>
      <c r="J92" s="21"/>
      <c r="K92" s="21">
        <v>-1907.8</v>
      </c>
      <c r="M92" s="42">
        <v>234.6</v>
      </c>
      <c r="O92" s="20"/>
      <c r="P92" s="107">
        <v>499</v>
      </c>
    </row>
    <row r="93" spans="1:16" s="14" customFormat="1" ht="33" customHeight="1">
      <c r="A93" s="53" t="s">
        <v>323</v>
      </c>
      <c r="B93" s="52" t="s">
        <v>16</v>
      </c>
      <c r="C93" s="53" t="s">
        <v>192</v>
      </c>
      <c r="D93" s="53" t="s">
        <v>11</v>
      </c>
      <c r="E93" s="53" t="s">
        <v>163</v>
      </c>
      <c r="F93" s="48">
        <f>SUM(F94)</f>
        <v>172.20000000000002</v>
      </c>
      <c r="G93" s="48">
        <f>SUM(G94)</f>
        <v>191.3</v>
      </c>
      <c r="H93" s="48">
        <f>SUM(H94)</f>
        <v>191.3</v>
      </c>
      <c r="I93" s="21"/>
      <c r="J93" s="21"/>
      <c r="K93" s="21"/>
      <c r="O93" s="21"/>
      <c r="P93" s="108"/>
    </row>
    <row r="94" spans="1:16" s="14" customFormat="1" ht="30" customHeight="1">
      <c r="A94" s="53" t="s">
        <v>273</v>
      </c>
      <c r="B94" s="52" t="s">
        <v>17</v>
      </c>
      <c r="C94" s="53" t="s">
        <v>192</v>
      </c>
      <c r="D94" s="53" t="s">
        <v>7</v>
      </c>
      <c r="E94" s="53" t="s">
        <v>164</v>
      </c>
      <c r="F94" s="48">
        <f>191.3-19.1</f>
        <v>172.20000000000002</v>
      </c>
      <c r="G94" s="48">
        <v>191.3</v>
      </c>
      <c r="H94" s="48">
        <v>191.3</v>
      </c>
      <c r="I94" s="21"/>
      <c r="J94" s="21"/>
      <c r="K94" s="21">
        <v>-67.9</v>
      </c>
      <c r="O94" s="21"/>
      <c r="P94" s="107">
        <v>-19.1</v>
      </c>
    </row>
    <row r="95" spans="1:16" s="14" customFormat="1" ht="29.25" customHeight="1">
      <c r="A95" s="53" t="s">
        <v>696</v>
      </c>
      <c r="B95" s="52" t="s">
        <v>162</v>
      </c>
      <c r="C95" s="53" t="s">
        <v>192</v>
      </c>
      <c r="D95" s="53" t="s">
        <v>31</v>
      </c>
      <c r="E95" s="53" t="s">
        <v>163</v>
      </c>
      <c r="F95" s="48">
        <f>SUM(F96)</f>
        <v>17265.6</v>
      </c>
      <c r="G95" s="48">
        <f>SUM(G96)</f>
        <v>16620.3</v>
      </c>
      <c r="H95" s="48">
        <f>SUM(H96)</f>
        <v>16620.3</v>
      </c>
      <c r="I95" s="21"/>
      <c r="J95" s="21"/>
      <c r="K95" s="21"/>
      <c r="O95" s="21"/>
      <c r="P95" s="108"/>
    </row>
    <row r="96" spans="1:16" s="14" customFormat="1" ht="20.25" customHeight="1">
      <c r="A96" s="53" t="s">
        <v>697</v>
      </c>
      <c r="B96" s="52" t="s">
        <v>33</v>
      </c>
      <c r="C96" s="53" t="s">
        <v>192</v>
      </c>
      <c r="D96" s="53" t="s">
        <v>32</v>
      </c>
      <c r="E96" s="53" t="s">
        <v>164</v>
      </c>
      <c r="F96" s="48">
        <f>16620.3+645.3</f>
        <v>17265.6</v>
      </c>
      <c r="G96" s="48">
        <v>16620.3</v>
      </c>
      <c r="H96" s="48">
        <v>16620.3</v>
      </c>
      <c r="I96" s="21"/>
      <c r="J96" s="21"/>
      <c r="K96" s="21">
        <v>-2251.5</v>
      </c>
      <c r="M96" s="42">
        <v>-419.1</v>
      </c>
      <c r="O96" s="20"/>
      <c r="P96" s="107">
        <v>645.3</v>
      </c>
    </row>
    <row r="97" spans="1:16" s="14" customFormat="1" ht="71.25" customHeight="1">
      <c r="A97" s="53" t="s">
        <v>698</v>
      </c>
      <c r="B97" s="68" t="s">
        <v>554</v>
      </c>
      <c r="C97" s="53" t="s">
        <v>364</v>
      </c>
      <c r="D97" s="53"/>
      <c r="E97" s="53"/>
      <c r="F97" s="48">
        <f>SUM(F98+F100+F102)</f>
        <v>2560.7000000000003</v>
      </c>
      <c r="G97" s="48">
        <f>SUM(G98+G100+G102)</f>
        <v>2560.7</v>
      </c>
      <c r="H97" s="48">
        <f>SUM(H98+H100+H102)</f>
        <v>2560.7</v>
      </c>
      <c r="I97" s="21"/>
      <c r="J97" s="21"/>
      <c r="K97" s="21"/>
      <c r="O97" s="21"/>
      <c r="P97" s="108"/>
    </row>
    <row r="98" spans="1:16" s="14" customFormat="1" ht="36" customHeight="1">
      <c r="A98" s="53" t="s">
        <v>274</v>
      </c>
      <c r="B98" s="52" t="s">
        <v>16</v>
      </c>
      <c r="C98" s="53" t="s">
        <v>364</v>
      </c>
      <c r="D98" s="53" t="s">
        <v>11</v>
      </c>
      <c r="E98" s="53" t="s">
        <v>163</v>
      </c>
      <c r="F98" s="48">
        <f>SUM(F99)</f>
        <v>1108.4</v>
      </c>
      <c r="G98" s="48">
        <f>SUM(G99)</f>
        <v>1368.5</v>
      </c>
      <c r="H98" s="48">
        <f>SUM(H99)</f>
        <v>1368.5</v>
      </c>
      <c r="I98" s="21"/>
      <c r="J98" s="21"/>
      <c r="K98" s="21"/>
      <c r="O98" s="21"/>
      <c r="P98" s="108"/>
    </row>
    <row r="99" spans="1:16" s="14" customFormat="1" ht="36" customHeight="1">
      <c r="A99" s="53" t="s">
        <v>275</v>
      </c>
      <c r="B99" s="52" t="s">
        <v>17</v>
      </c>
      <c r="C99" s="53" t="s">
        <v>364</v>
      </c>
      <c r="D99" s="53" t="s">
        <v>7</v>
      </c>
      <c r="E99" s="53" t="s">
        <v>178</v>
      </c>
      <c r="F99" s="48">
        <f>1368.5-260.1</f>
        <v>1108.4</v>
      </c>
      <c r="G99" s="48">
        <v>1368.5</v>
      </c>
      <c r="H99" s="48">
        <v>1368.5</v>
      </c>
      <c r="I99" s="21"/>
      <c r="J99" s="21"/>
      <c r="K99" s="21">
        <v>-309.5</v>
      </c>
      <c r="O99" s="20"/>
      <c r="P99" s="107">
        <v>-260.1</v>
      </c>
    </row>
    <row r="100" spans="1:16" s="14" customFormat="1" ht="24" customHeight="1">
      <c r="A100" s="53" t="s">
        <v>276</v>
      </c>
      <c r="B100" s="52" t="s">
        <v>183</v>
      </c>
      <c r="C100" s="53" t="s">
        <v>364</v>
      </c>
      <c r="D100" s="53" t="s">
        <v>184</v>
      </c>
      <c r="E100" s="53" t="s">
        <v>163</v>
      </c>
      <c r="F100" s="48">
        <f>SUM(F101)</f>
        <v>158</v>
      </c>
      <c r="G100" s="48">
        <f>SUM(G101)</f>
        <v>158</v>
      </c>
      <c r="H100" s="48">
        <f>SUM(H101)</f>
        <v>158</v>
      </c>
      <c r="I100" s="21"/>
      <c r="J100" s="21"/>
      <c r="K100" s="21"/>
      <c r="O100" s="21"/>
      <c r="P100" s="108"/>
    </row>
    <row r="101" spans="1:16" s="14" customFormat="1" ht="31.5" customHeight="1">
      <c r="A101" s="53" t="s">
        <v>277</v>
      </c>
      <c r="B101" s="52" t="s">
        <v>150</v>
      </c>
      <c r="C101" s="53" t="s">
        <v>364</v>
      </c>
      <c r="D101" s="53" t="s">
        <v>151</v>
      </c>
      <c r="E101" s="53" t="s">
        <v>178</v>
      </c>
      <c r="F101" s="48">
        <v>158</v>
      </c>
      <c r="G101" s="48">
        <v>158</v>
      </c>
      <c r="H101" s="48">
        <v>158</v>
      </c>
      <c r="I101" s="21"/>
      <c r="J101" s="21"/>
      <c r="K101" s="21">
        <v>-305.3</v>
      </c>
      <c r="M101" s="42">
        <v>56.1</v>
      </c>
      <c r="O101" s="20"/>
      <c r="P101" s="108"/>
    </row>
    <row r="102" spans="1:16" s="14" customFormat="1" ht="30.75" customHeight="1">
      <c r="A102" s="53" t="s">
        <v>468</v>
      </c>
      <c r="B102" s="52" t="s">
        <v>162</v>
      </c>
      <c r="C102" s="53" t="s">
        <v>364</v>
      </c>
      <c r="D102" s="53" t="s">
        <v>31</v>
      </c>
      <c r="E102" s="53" t="s">
        <v>163</v>
      </c>
      <c r="F102" s="48">
        <f>SUM(F103)</f>
        <v>1294.3000000000002</v>
      </c>
      <c r="G102" s="48">
        <f>SUM(G103)</f>
        <v>1034.2</v>
      </c>
      <c r="H102" s="48">
        <f>SUM(H103)</f>
        <v>1034.2</v>
      </c>
      <c r="I102" s="21"/>
      <c r="J102" s="21"/>
      <c r="K102" s="21"/>
      <c r="O102" s="21"/>
      <c r="P102" s="108"/>
    </row>
    <row r="103" spans="1:16" s="14" customFormat="1" ht="27" customHeight="1">
      <c r="A103" s="53" t="s">
        <v>469</v>
      </c>
      <c r="B103" s="52" t="s">
        <v>33</v>
      </c>
      <c r="C103" s="53" t="s">
        <v>364</v>
      </c>
      <c r="D103" s="53" t="s">
        <v>32</v>
      </c>
      <c r="E103" s="53" t="s">
        <v>178</v>
      </c>
      <c r="F103" s="48">
        <f>1034.2+260.1</f>
        <v>1294.3000000000002</v>
      </c>
      <c r="G103" s="48">
        <v>1034.2</v>
      </c>
      <c r="H103" s="48">
        <v>1034.2</v>
      </c>
      <c r="I103" s="21"/>
      <c r="J103" s="21"/>
      <c r="K103" s="21">
        <v>614.8</v>
      </c>
      <c r="M103" s="42">
        <v>-50.1</v>
      </c>
      <c r="O103" s="20"/>
      <c r="P103" s="107">
        <v>260.1</v>
      </c>
    </row>
    <row r="104" spans="1:16" s="14" customFormat="1" ht="81.75" customHeight="1">
      <c r="A104" s="53" t="s">
        <v>278</v>
      </c>
      <c r="B104" s="68" t="s">
        <v>999</v>
      </c>
      <c r="C104" s="53" t="s">
        <v>576</v>
      </c>
      <c r="D104" s="53"/>
      <c r="E104" s="53"/>
      <c r="F104" s="48">
        <f>SUM(F105+F107)</f>
        <v>250</v>
      </c>
      <c r="G104" s="48">
        <f aca="true" t="shared" si="1" ref="F104:H107">SUM(G105)</f>
        <v>250</v>
      </c>
      <c r="H104" s="48">
        <f t="shared" si="1"/>
        <v>250</v>
      </c>
      <c r="I104" s="21"/>
      <c r="J104" s="21"/>
      <c r="K104" s="21"/>
      <c r="O104" s="21"/>
      <c r="P104" s="108"/>
    </row>
    <row r="105" spans="1:16" s="14" customFormat="1" ht="31.5" customHeight="1">
      <c r="A105" s="53" t="s">
        <v>279</v>
      </c>
      <c r="B105" s="52" t="s">
        <v>17</v>
      </c>
      <c r="C105" s="53" t="s">
        <v>576</v>
      </c>
      <c r="D105" s="53" t="s">
        <v>11</v>
      </c>
      <c r="E105" s="53" t="s">
        <v>163</v>
      </c>
      <c r="F105" s="48">
        <f t="shared" si="1"/>
        <v>154</v>
      </c>
      <c r="G105" s="48">
        <f t="shared" si="1"/>
        <v>250</v>
      </c>
      <c r="H105" s="48">
        <f t="shared" si="1"/>
        <v>250</v>
      </c>
      <c r="I105" s="21"/>
      <c r="J105" s="21"/>
      <c r="K105" s="21"/>
      <c r="O105" s="21"/>
      <c r="P105" s="108"/>
    </row>
    <row r="106" spans="1:16" s="14" customFormat="1" ht="30" customHeight="1">
      <c r="A106" s="53" t="s">
        <v>280</v>
      </c>
      <c r="B106" s="52" t="s">
        <v>162</v>
      </c>
      <c r="C106" s="53" t="s">
        <v>576</v>
      </c>
      <c r="D106" s="53" t="s">
        <v>7</v>
      </c>
      <c r="E106" s="53" t="s">
        <v>164</v>
      </c>
      <c r="F106" s="48">
        <f>250-96</f>
        <v>154</v>
      </c>
      <c r="G106" s="48">
        <v>250</v>
      </c>
      <c r="H106" s="48">
        <v>250</v>
      </c>
      <c r="I106" s="21"/>
      <c r="J106" s="21"/>
      <c r="K106" s="21"/>
      <c r="M106" s="42">
        <v>-150</v>
      </c>
      <c r="O106" s="20"/>
      <c r="P106" s="108"/>
    </row>
    <row r="107" spans="1:16" s="14" customFormat="1" ht="30" customHeight="1">
      <c r="A107" s="53" t="s">
        <v>470</v>
      </c>
      <c r="B107" s="52" t="s">
        <v>162</v>
      </c>
      <c r="C107" s="53" t="s">
        <v>576</v>
      </c>
      <c r="D107" s="53" t="s">
        <v>31</v>
      </c>
      <c r="E107" s="53" t="s">
        <v>163</v>
      </c>
      <c r="F107" s="48">
        <f t="shared" si="1"/>
        <v>96</v>
      </c>
      <c r="G107" s="48">
        <f t="shared" si="1"/>
        <v>0</v>
      </c>
      <c r="H107" s="48">
        <f t="shared" si="1"/>
        <v>0</v>
      </c>
      <c r="I107" s="21"/>
      <c r="J107" s="21"/>
      <c r="K107" s="21"/>
      <c r="M107" s="42"/>
      <c r="O107" s="20"/>
      <c r="P107" s="108"/>
    </row>
    <row r="108" spans="1:16" s="14" customFormat="1" ht="30" customHeight="1">
      <c r="A108" s="53" t="s">
        <v>44</v>
      </c>
      <c r="B108" s="52" t="s">
        <v>33</v>
      </c>
      <c r="C108" s="53" t="s">
        <v>576</v>
      </c>
      <c r="D108" s="53" t="s">
        <v>32</v>
      </c>
      <c r="E108" s="53" t="s">
        <v>164</v>
      </c>
      <c r="F108" s="48">
        <v>96</v>
      </c>
      <c r="G108" s="48">
        <v>0</v>
      </c>
      <c r="H108" s="48">
        <v>0</v>
      </c>
      <c r="I108" s="21"/>
      <c r="J108" s="21"/>
      <c r="K108" s="21"/>
      <c r="M108" s="42"/>
      <c r="O108" s="20"/>
      <c r="P108" s="108"/>
    </row>
    <row r="109" spans="1:16" s="14" customFormat="1" ht="68.25" customHeight="1">
      <c r="A109" s="53" t="s">
        <v>471</v>
      </c>
      <c r="B109" s="69" t="s">
        <v>567</v>
      </c>
      <c r="C109" s="53" t="s">
        <v>577</v>
      </c>
      <c r="D109" s="53"/>
      <c r="E109" s="53"/>
      <c r="F109" s="48">
        <f aca="true" t="shared" si="2" ref="F109:H110">F110</f>
        <v>1726</v>
      </c>
      <c r="G109" s="48">
        <f t="shared" si="2"/>
        <v>1726</v>
      </c>
      <c r="H109" s="48">
        <f t="shared" si="2"/>
        <v>1726</v>
      </c>
      <c r="I109" s="21"/>
      <c r="J109" s="21"/>
      <c r="K109" s="21"/>
      <c r="O109" s="21"/>
      <c r="P109" s="108"/>
    </row>
    <row r="110" spans="1:16" s="14" customFormat="1" ht="32.25" customHeight="1">
      <c r="A110" s="53" t="s">
        <v>472</v>
      </c>
      <c r="B110" s="52" t="s">
        <v>162</v>
      </c>
      <c r="C110" s="53" t="s">
        <v>577</v>
      </c>
      <c r="D110" s="53" t="s">
        <v>31</v>
      </c>
      <c r="E110" s="53" t="s">
        <v>163</v>
      </c>
      <c r="F110" s="48">
        <f t="shared" si="2"/>
        <v>1726</v>
      </c>
      <c r="G110" s="48">
        <f t="shared" si="2"/>
        <v>1726</v>
      </c>
      <c r="H110" s="48">
        <f t="shared" si="2"/>
        <v>1726</v>
      </c>
      <c r="I110" s="21"/>
      <c r="J110" s="21"/>
      <c r="K110" s="21"/>
      <c r="O110" s="21"/>
      <c r="P110" s="108"/>
    </row>
    <row r="111" spans="1:16" s="14" customFormat="1" ht="22.5" customHeight="1">
      <c r="A111" s="53" t="s">
        <v>473</v>
      </c>
      <c r="B111" s="52" t="s">
        <v>33</v>
      </c>
      <c r="C111" s="53" t="s">
        <v>577</v>
      </c>
      <c r="D111" s="53" t="s">
        <v>32</v>
      </c>
      <c r="E111" s="53" t="s">
        <v>361</v>
      </c>
      <c r="F111" s="48">
        <v>1726</v>
      </c>
      <c r="G111" s="48">
        <v>1726</v>
      </c>
      <c r="H111" s="48">
        <v>1726</v>
      </c>
      <c r="I111" s="21"/>
      <c r="J111" s="21"/>
      <c r="K111" s="21"/>
      <c r="M111" s="42">
        <v>-176</v>
      </c>
      <c r="O111" s="20"/>
      <c r="P111" s="108"/>
    </row>
    <row r="112" spans="1:16" s="14" customFormat="1" ht="97.5" customHeight="1">
      <c r="A112" s="53" t="s">
        <v>474</v>
      </c>
      <c r="B112" s="52" t="s">
        <v>855</v>
      </c>
      <c r="C112" s="53" t="s">
        <v>578</v>
      </c>
      <c r="D112" s="53"/>
      <c r="E112" s="53"/>
      <c r="F112" s="48">
        <f>SUM(F115+F113)</f>
        <v>1264</v>
      </c>
      <c r="G112" s="48">
        <f>SUM(G115+G113)</f>
        <v>1264</v>
      </c>
      <c r="H112" s="48">
        <f>SUM(H115+H113)</f>
        <v>1264</v>
      </c>
      <c r="I112" s="21"/>
      <c r="J112" s="21"/>
      <c r="K112" s="21"/>
      <c r="O112" s="21"/>
      <c r="P112" s="108"/>
    </row>
    <row r="113" spans="1:16" s="14" customFormat="1" ht="44.25" customHeight="1">
      <c r="A113" s="53" t="s">
        <v>51</v>
      </c>
      <c r="B113" s="52" t="s">
        <v>16</v>
      </c>
      <c r="C113" s="53" t="s">
        <v>578</v>
      </c>
      <c r="D113" s="53" t="s">
        <v>11</v>
      </c>
      <c r="E113" s="53" t="s">
        <v>163</v>
      </c>
      <c r="F113" s="48">
        <f aca="true" t="shared" si="3" ref="F113:H115">SUM(F114)</f>
        <v>200</v>
      </c>
      <c r="G113" s="48">
        <f t="shared" si="3"/>
        <v>200</v>
      </c>
      <c r="H113" s="48">
        <f t="shared" si="3"/>
        <v>200</v>
      </c>
      <c r="I113" s="21"/>
      <c r="J113" s="21"/>
      <c r="K113" s="21"/>
      <c r="O113" s="21"/>
      <c r="P113" s="108"/>
    </row>
    <row r="114" spans="1:16" s="14" customFormat="1" ht="41.25" customHeight="1">
      <c r="A114" s="53" t="s">
        <v>52</v>
      </c>
      <c r="B114" s="52" t="s">
        <v>17</v>
      </c>
      <c r="C114" s="53" t="s">
        <v>578</v>
      </c>
      <c r="D114" s="53" t="s">
        <v>7</v>
      </c>
      <c r="E114" s="53" t="s">
        <v>164</v>
      </c>
      <c r="F114" s="48">
        <v>200</v>
      </c>
      <c r="G114" s="48">
        <v>200</v>
      </c>
      <c r="H114" s="48">
        <v>200</v>
      </c>
      <c r="I114" s="21"/>
      <c r="J114" s="21"/>
      <c r="K114" s="21"/>
      <c r="O114" s="21"/>
      <c r="P114" s="108"/>
    </row>
    <row r="115" spans="1:16" s="14" customFormat="1" ht="33" customHeight="1">
      <c r="A115" s="53" t="s">
        <v>53</v>
      </c>
      <c r="B115" s="52" t="s">
        <v>16</v>
      </c>
      <c r="C115" s="53" t="s">
        <v>578</v>
      </c>
      <c r="D115" s="53" t="s">
        <v>11</v>
      </c>
      <c r="E115" s="53" t="s">
        <v>163</v>
      </c>
      <c r="F115" s="48">
        <f t="shared" si="3"/>
        <v>1064</v>
      </c>
      <c r="G115" s="48">
        <f t="shared" si="3"/>
        <v>1064</v>
      </c>
      <c r="H115" s="48">
        <f t="shared" si="3"/>
        <v>1064</v>
      </c>
      <c r="I115" s="21"/>
      <c r="J115" s="21"/>
      <c r="K115" s="21"/>
      <c r="O115" s="21"/>
      <c r="P115" s="108"/>
    </row>
    <row r="116" spans="1:16" s="14" customFormat="1" ht="34.5" customHeight="1">
      <c r="A116" s="53" t="s">
        <v>324</v>
      </c>
      <c r="B116" s="52" t="s">
        <v>17</v>
      </c>
      <c r="C116" s="53" t="s">
        <v>578</v>
      </c>
      <c r="D116" s="53" t="s">
        <v>7</v>
      </c>
      <c r="E116" s="53" t="s">
        <v>172</v>
      </c>
      <c r="F116" s="48">
        <v>1064</v>
      </c>
      <c r="G116" s="48">
        <v>1064</v>
      </c>
      <c r="H116" s="48">
        <v>1064</v>
      </c>
      <c r="I116" s="21"/>
      <c r="J116" s="21"/>
      <c r="K116" s="21"/>
      <c r="O116" s="20"/>
      <c r="P116" s="108"/>
    </row>
    <row r="117" spans="1:16" s="14" customFormat="1" ht="67.5" customHeight="1">
      <c r="A117" s="53" t="s">
        <v>325</v>
      </c>
      <c r="B117" s="52" t="s">
        <v>542</v>
      </c>
      <c r="C117" s="53" t="s">
        <v>579</v>
      </c>
      <c r="D117" s="53"/>
      <c r="E117" s="53"/>
      <c r="F117" s="55">
        <f aca="true" t="shared" si="4" ref="F117:H118">F118</f>
        <v>20</v>
      </c>
      <c r="G117" s="55">
        <f t="shared" si="4"/>
        <v>20</v>
      </c>
      <c r="H117" s="55">
        <f t="shared" si="4"/>
        <v>20</v>
      </c>
      <c r="I117" s="21"/>
      <c r="J117" s="21"/>
      <c r="K117" s="21"/>
      <c r="O117" s="21"/>
      <c r="P117" s="108"/>
    </row>
    <row r="118" spans="1:16" s="14" customFormat="1" ht="30" customHeight="1">
      <c r="A118" s="53" t="s">
        <v>128</v>
      </c>
      <c r="B118" s="52" t="s">
        <v>16</v>
      </c>
      <c r="C118" s="53" t="s">
        <v>579</v>
      </c>
      <c r="D118" s="53" t="s">
        <v>11</v>
      </c>
      <c r="E118" s="53" t="s">
        <v>163</v>
      </c>
      <c r="F118" s="55">
        <f t="shared" si="4"/>
        <v>20</v>
      </c>
      <c r="G118" s="55">
        <f t="shared" si="4"/>
        <v>20</v>
      </c>
      <c r="H118" s="55">
        <f t="shared" si="4"/>
        <v>20</v>
      </c>
      <c r="I118" s="21"/>
      <c r="J118" s="21"/>
      <c r="K118" s="21"/>
      <c r="O118" s="21"/>
      <c r="P118" s="108"/>
    </row>
    <row r="119" spans="1:16" s="14" customFormat="1" ht="33.75" customHeight="1">
      <c r="A119" s="53" t="s">
        <v>757</v>
      </c>
      <c r="B119" s="52" t="s">
        <v>17</v>
      </c>
      <c r="C119" s="53" t="s">
        <v>579</v>
      </c>
      <c r="D119" s="53" t="s">
        <v>7</v>
      </c>
      <c r="E119" s="53" t="s">
        <v>178</v>
      </c>
      <c r="F119" s="48">
        <v>20</v>
      </c>
      <c r="G119" s="48">
        <v>20</v>
      </c>
      <c r="H119" s="48">
        <v>20</v>
      </c>
      <c r="I119" s="21"/>
      <c r="J119" s="21"/>
      <c r="K119" s="21"/>
      <c r="O119" s="20"/>
      <c r="P119" s="108"/>
    </row>
    <row r="120" spans="1:16" s="14" customFormat="1" ht="81" customHeight="1">
      <c r="A120" s="53" t="s">
        <v>758</v>
      </c>
      <c r="B120" s="52" t="s">
        <v>543</v>
      </c>
      <c r="C120" s="53" t="s">
        <v>580</v>
      </c>
      <c r="D120" s="53"/>
      <c r="E120" s="53"/>
      <c r="F120" s="55">
        <f aca="true" t="shared" si="5" ref="F120:H132">F121</f>
        <v>250</v>
      </c>
      <c r="G120" s="55">
        <f t="shared" si="5"/>
        <v>250</v>
      </c>
      <c r="H120" s="55">
        <f t="shared" si="5"/>
        <v>250</v>
      </c>
      <c r="I120" s="21"/>
      <c r="J120" s="21"/>
      <c r="K120" s="21"/>
      <c r="O120" s="21"/>
      <c r="P120" s="108"/>
    </row>
    <row r="121" spans="1:16" s="14" customFormat="1" ht="35.25" customHeight="1">
      <c r="A121" s="53" t="s">
        <v>759</v>
      </c>
      <c r="B121" s="52" t="s">
        <v>16</v>
      </c>
      <c r="C121" s="53" t="s">
        <v>580</v>
      </c>
      <c r="D121" s="53" t="s">
        <v>11</v>
      </c>
      <c r="E121" s="53" t="s">
        <v>163</v>
      </c>
      <c r="F121" s="55">
        <f t="shared" si="5"/>
        <v>250</v>
      </c>
      <c r="G121" s="55">
        <f t="shared" si="5"/>
        <v>250</v>
      </c>
      <c r="H121" s="55">
        <f t="shared" si="5"/>
        <v>250</v>
      </c>
      <c r="I121" s="21"/>
      <c r="J121" s="21"/>
      <c r="K121" s="21"/>
      <c r="O121" s="21"/>
      <c r="P121" s="108"/>
    </row>
    <row r="122" spans="1:16" s="14" customFormat="1" ht="36" customHeight="1">
      <c r="A122" s="53" t="s">
        <v>760</v>
      </c>
      <c r="B122" s="52" t="s">
        <v>17</v>
      </c>
      <c r="C122" s="53" t="s">
        <v>580</v>
      </c>
      <c r="D122" s="53" t="s">
        <v>7</v>
      </c>
      <c r="E122" s="53" t="s">
        <v>172</v>
      </c>
      <c r="F122" s="48">
        <v>250</v>
      </c>
      <c r="G122" s="48">
        <v>250</v>
      </c>
      <c r="H122" s="48">
        <v>250</v>
      </c>
      <c r="I122" s="21"/>
      <c r="J122" s="21"/>
      <c r="K122" s="21"/>
      <c r="M122" s="42">
        <v>-150</v>
      </c>
      <c r="O122" s="21"/>
      <c r="P122" s="108"/>
    </row>
    <row r="123" spans="1:16" s="14" customFormat="1" ht="108.75" customHeight="1">
      <c r="A123" s="53" t="s">
        <v>761</v>
      </c>
      <c r="B123" s="52" t="s">
        <v>544</v>
      </c>
      <c r="C123" s="53" t="s">
        <v>581</v>
      </c>
      <c r="D123" s="53"/>
      <c r="E123" s="53"/>
      <c r="F123" s="55">
        <f t="shared" si="5"/>
        <v>160</v>
      </c>
      <c r="G123" s="55">
        <f t="shared" si="5"/>
        <v>160</v>
      </c>
      <c r="H123" s="55">
        <f t="shared" si="5"/>
        <v>160</v>
      </c>
      <c r="I123" s="21"/>
      <c r="J123" s="21"/>
      <c r="K123" s="21"/>
      <c r="O123" s="21"/>
      <c r="P123" s="108"/>
    </row>
    <row r="124" spans="1:16" s="14" customFormat="1" ht="31.5" customHeight="1">
      <c r="A124" s="53" t="s">
        <v>762</v>
      </c>
      <c r="B124" s="52" t="s">
        <v>16</v>
      </c>
      <c r="C124" s="53" t="s">
        <v>581</v>
      </c>
      <c r="D124" s="53" t="s">
        <v>11</v>
      </c>
      <c r="E124" s="53" t="s">
        <v>163</v>
      </c>
      <c r="F124" s="55">
        <f t="shared" si="5"/>
        <v>160</v>
      </c>
      <c r="G124" s="55">
        <f t="shared" si="5"/>
        <v>160</v>
      </c>
      <c r="H124" s="55">
        <f t="shared" si="5"/>
        <v>160</v>
      </c>
      <c r="I124" s="21"/>
      <c r="J124" s="21"/>
      <c r="K124" s="21"/>
      <c r="O124" s="21"/>
      <c r="P124" s="108"/>
    </row>
    <row r="125" spans="1:16" s="14" customFormat="1" ht="33" customHeight="1">
      <c r="A125" s="53" t="s">
        <v>763</v>
      </c>
      <c r="B125" s="52" t="s">
        <v>17</v>
      </c>
      <c r="C125" s="53" t="s">
        <v>581</v>
      </c>
      <c r="D125" s="53" t="s">
        <v>7</v>
      </c>
      <c r="E125" s="53" t="s">
        <v>178</v>
      </c>
      <c r="F125" s="48">
        <v>160</v>
      </c>
      <c r="G125" s="48">
        <v>160</v>
      </c>
      <c r="H125" s="48">
        <v>160</v>
      </c>
      <c r="I125" s="21"/>
      <c r="J125" s="21"/>
      <c r="K125" s="21"/>
      <c r="M125" s="14">
        <v>-50</v>
      </c>
      <c r="O125" s="20"/>
      <c r="P125" s="108"/>
    </row>
    <row r="126" spans="1:16" s="14" customFormat="1" ht="59.25" customHeight="1">
      <c r="A126" s="53" t="s">
        <v>764</v>
      </c>
      <c r="B126" s="52" t="s">
        <v>545</v>
      </c>
      <c r="C126" s="53" t="s">
        <v>582</v>
      </c>
      <c r="D126" s="53"/>
      <c r="E126" s="53"/>
      <c r="F126" s="55">
        <f t="shared" si="5"/>
        <v>35</v>
      </c>
      <c r="G126" s="55">
        <f t="shared" si="5"/>
        <v>35</v>
      </c>
      <c r="H126" s="55">
        <f t="shared" si="5"/>
        <v>35</v>
      </c>
      <c r="I126" s="21"/>
      <c r="J126" s="21"/>
      <c r="K126" s="21"/>
      <c r="O126" s="21"/>
      <c r="P126" s="108"/>
    </row>
    <row r="127" spans="1:16" s="14" customFormat="1" ht="33.75" customHeight="1">
      <c r="A127" s="53" t="s">
        <v>765</v>
      </c>
      <c r="B127" s="52" t="s">
        <v>16</v>
      </c>
      <c r="C127" s="53" t="s">
        <v>582</v>
      </c>
      <c r="D127" s="53" t="s">
        <v>11</v>
      </c>
      <c r="E127" s="53" t="s">
        <v>163</v>
      </c>
      <c r="F127" s="55">
        <f t="shared" si="5"/>
        <v>35</v>
      </c>
      <c r="G127" s="55">
        <f t="shared" si="5"/>
        <v>35</v>
      </c>
      <c r="H127" s="55">
        <f t="shared" si="5"/>
        <v>35</v>
      </c>
      <c r="I127" s="21"/>
      <c r="J127" s="21"/>
      <c r="K127" s="21"/>
      <c r="O127" s="21"/>
      <c r="P127" s="108"/>
    </row>
    <row r="128" spans="1:16" s="14" customFormat="1" ht="34.5" customHeight="1">
      <c r="A128" s="53" t="s">
        <v>45</v>
      </c>
      <c r="B128" s="52" t="s">
        <v>17</v>
      </c>
      <c r="C128" s="53" t="s">
        <v>582</v>
      </c>
      <c r="D128" s="53" t="s">
        <v>7</v>
      </c>
      <c r="E128" s="53" t="s">
        <v>178</v>
      </c>
      <c r="F128" s="48">
        <v>35</v>
      </c>
      <c r="G128" s="48">
        <v>35</v>
      </c>
      <c r="H128" s="48">
        <v>35</v>
      </c>
      <c r="I128" s="21"/>
      <c r="J128" s="21"/>
      <c r="K128" s="21"/>
      <c r="M128" s="14">
        <v>-10</v>
      </c>
      <c r="O128" s="21"/>
      <c r="P128" s="108"/>
    </row>
    <row r="129" spans="1:16" s="14" customFormat="1" ht="69" customHeight="1">
      <c r="A129" s="53" t="s">
        <v>54</v>
      </c>
      <c r="B129" s="52" t="s">
        <v>1008</v>
      </c>
      <c r="C129" s="53" t="s">
        <v>1007</v>
      </c>
      <c r="D129" s="53"/>
      <c r="E129" s="53"/>
      <c r="F129" s="55">
        <f>F130+F132</f>
        <v>50</v>
      </c>
      <c r="G129" s="55">
        <f t="shared" si="5"/>
        <v>50</v>
      </c>
      <c r="H129" s="55">
        <f t="shared" si="5"/>
        <v>50</v>
      </c>
      <c r="I129" s="21"/>
      <c r="J129" s="21"/>
      <c r="K129" s="21"/>
      <c r="O129" s="21"/>
      <c r="P129" s="108"/>
    </row>
    <row r="130" spans="1:16" s="14" customFormat="1" ht="34.5" customHeight="1">
      <c r="A130" s="53" t="s">
        <v>55</v>
      </c>
      <c r="B130" s="52" t="s">
        <v>16</v>
      </c>
      <c r="C130" s="53" t="s">
        <v>1007</v>
      </c>
      <c r="D130" s="53" t="s">
        <v>11</v>
      </c>
      <c r="E130" s="53" t="s">
        <v>163</v>
      </c>
      <c r="F130" s="55">
        <f t="shared" si="5"/>
        <v>0</v>
      </c>
      <c r="G130" s="55">
        <f t="shared" si="5"/>
        <v>50</v>
      </c>
      <c r="H130" s="55">
        <f t="shared" si="5"/>
        <v>50</v>
      </c>
      <c r="I130" s="21"/>
      <c r="J130" s="21"/>
      <c r="K130" s="21"/>
      <c r="O130" s="21"/>
      <c r="P130" s="108"/>
    </row>
    <row r="131" spans="1:16" s="14" customFormat="1" ht="34.5" customHeight="1">
      <c r="A131" s="53" t="s">
        <v>56</v>
      </c>
      <c r="B131" s="52" t="s">
        <v>17</v>
      </c>
      <c r="C131" s="53" t="s">
        <v>1007</v>
      </c>
      <c r="D131" s="53" t="s">
        <v>7</v>
      </c>
      <c r="E131" s="53" t="s">
        <v>178</v>
      </c>
      <c r="F131" s="48">
        <f>50-50</f>
        <v>0</v>
      </c>
      <c r="G131" s="48">
        <v>50</v>
      </c>
      <c r="H131" s="48">
        <v>50</v>
      </c>
      <c r="I131" s="21"/>
      <c r="J131" s="21"/>
      <c r="K131" s="21"/>
      <c r="O131" s="21"/>
      <c r="P131" s="107">
        <v>-50</v>
      </c>
    </row>
    <row r="132" spans="1:16" s="14" customFormat="1" ht="34.5" customHeight="1">
      <c r="A132" s="53" t="s">
        <v>57</v>
      </c>
      <c r="B132" s="68" t="s">
        <v>183</v>
      </c>
      <c r="C132" s="53" t="s">
        <v>1007</v>
      </c>
      <c r="D132" s="53" t="s">
        <v>184</v>
      </c>
      <c r="E132" s="53" t="s">
        <v>163</v>
      </c>
      <c r="F132" s="55">
        <f t="shared" si="5"/>
        <v>50</v>
      </c>
      <c r="G132" s="55">
        <f t="shared" si="5"/>
        <v>0</v>
      </c>
      <c r="H132" s="55">
        <f t="shared" si="5"/>
        <v>0</v>
      </c>
      <c r="I132" s="21"/>
      <c r="J132" s="21"/>
      <c r="K132" s="21"/>
      <c r="O132" s="21"/>
      <c r="P132" s="99"/>
    </row>
    <row r="133" spans="1:16" s="14" customFormat="1" ht="24" customHeight="1">
      <c r="A133" s="53" t="s">
        <v>366</v>
      </c>
      <c r="B133" s="98" t="s">
        <v>1146</v>
      </c>
      <c r="C133" s="53" t="s">
        <v>1007</v>
      </c>
      <c r="D133" s="53" t="s">
        <v>92</v>
      </c>
      <c r="E133" s="53" t="s">
        <v>178</v>
      </c>
      <c r="F133" s="48">
        <v>50</v>
      </c>
      <c r="G133" s="48">
        <v>0</v>
      </c>
      <c r="H133" s="48">
        <v>0</v>
      </c>
      <c r="I133" s="21"/>
      <c r="J133" s="21"/>
      <c r="K133" s="21"/>
      <c r="O133" s="21"/>
      <c r="P133" s="107">
        <v>50</v>
      </c>
    </row>
    <row r="134" spans="1:16" s="14" customFormat="1" ht="70.5" customHeight="1">
      <c r="A134" s="53" t="s">
        <v>367</v>
      </c>
      <c r="B134" s="52" t="s">
        <v>546</v>
      </c>
      <c r="C134" s="53" t="s">
        <v>583</v>
      </c>
      <c r="D134" s="53"/>
      <c r="E134" s="53"/>
      <c r="F134" s="55">
        <f>F135+F137</f>
        <v>65</v>
      </c>
      <c r="G134" s="55">
        <f>G135+G137</f>
        <v>65</v>
      </c>
      <c r="H134" s="55">
        <f>H135+H137</f>
        <v>65</v>
      </c>
      <c r="I134" s="21"/>
      <c r="J134" s="21"/>
      <c r="K134" s="21"/>
      <c r="O134" s="21"/>
      <c r="P134" s="108"/>
    </row>
    <row r="135" spans="1:16" s="14" customFormat="1" ht="30" customHeight="1">
      <c r="A135" s="53" t="s">
        <v>368</v>
      </c>
      <c r="B135" s="52" t="s">
        <v>16</v>
      </c>
      <c r="C135" s="53" t="s">
        <v>583</v>
      </c>
      <c r="D135" s="53" t="s">
        <v>11</v>
      </c>
      <c r="E135" s="53" t="s">
        <v>163</v>
      </c>
      <c r="F135" s="55">
        <f aca="true" t="shared" si="6" ref="F135:H137">F136</f>
        <v>33.2</v>
      </c>
      <c r="G135" s="55">
        <f t="shared" si="6"/>
        <v>37.1</v>
      </c>
      <c r="H135" s="55">
        <f t="shared" si="6"/>
        <v>37.1</v>
      </c>
      <c r="I135" s="21"/>
      <c r="J135" s="21"/>
      <c r="K135" s="21"/>
      <c r="O135" s="21"/>
      <c r="P135" s="108"/>
    </row>
    <row r="136" spans="1:16" s="14" customFormat="1" ht="30" customHeight="1">
      <c r="A136" s="53" t="s">
        <v>58</v>
      </c>
      <c r="B136" s="52" t="s">
        <v>17</v>
      </c>
      <c r="C136" s="53" t="s">
        <v>583</v>
      </c>
      <c r="D136" s="53" t="s">
        <v>7</v>
      </c>
      <c r="E136" s="53" t="s">
        <v>178</v>
      </c>
      <c r="F136" s="48">
        <f>37.1-3.9</f>
        <v>33.2</v>
      </c>
      <c r="G136" s="48">
        <v>37.1</v>
      </c>
      <c r="H136" s="48">
        <v>37.1</v>
      </c>
      <c r="I136" s="21"/>
      <c r="J136" s="21"/>
      <c r="K136" s="21"/>
      <c r="O136" s="20"/>
      <c r="P136" s="107">
        <v>-3.9</v>
      </c>
    </row>
    <row r="137" spans="1:16" s="14" customFormat="1" ht="29.25" customHeight="1">
      <c r="A137" s="53" t="s">
        <v>766</v>
      </c>
      <c r="B137" s="74" t="s">
        <v>162</v>
      </c>
      <c r="C137" s="53" t="s">
        <v>583</v>
      </c>
      <c r="D137" s="53" t="s">
        <v>31</v>
      </c>
      <c r="E137" s="53" t="s">
        <v>163</v>
      </c>
      <c r="F137" s="55">
        <f t="shared" si="6"/>
        <v>31.799999999999997</v>
      </c>
      <c r="G137" s="55">
        <f t="shared" si="6"/>
        <v>27.9</v>
      </c>
      <c r="H137" s="55">
        <f t="shared" si="6"/>
        <v>27.9</v>
      </c>
      <c r="I137" s="21"/>
      <c r="J137" s="21"/>
      <c r="K137" s="21"/>
      <c r="O137" s="21"/>
      <c r="P137" s="108"/>
    </row>
    <row r="138" spans="1:16" s="14" customFormat="1" ht="18.75" customHeight="1">
      <c r="A138" s="53" t="s">
        <v>767</v>
      </c>
      <c r="B138" s="74" t="s">
        <v>33</v>
      </c>
      <c r="C138" s="53" t="s">
        <v>583</v>
      </c>
      <c r="D138" s="53" t="s">
        <v>32</v>
      </c>
      <c r="E138" s="53" t="s">
        <v>178</v>
      </c>
      <c r="F138" s="48">
        <f>27.9+3.9</f>
        <v>31.799999999999997</v>
      </c>
      <c r="G138" s="48">
        <v>27.9</v>
      </c>
      <c r="H138" s="48">
        <v>27.9</v>
      </c>
      <c r="I138" s="21"/>
      <c r="J138" s="21"/>
      <c r="K138" s="21"/>
      <c r="O138" s="20"/>
      <c r="P138" s="107">
        <v>3.9</v>
      </c>
    </row>
    <row r="139" spans="1:16" s="14" customFormat="1" ht="70.5" customHeight="1">
      <c r="A139" s="53" t="s">
        <v>768</v>
      </c>
      <c r="B139" s="52" t="s">
        <v>547</v>
      </c>
      <c r="C139" s="53" t="s">
        <v>584</v>
      </c>
      <c r="D139" s="53"/>
      <c r="E139" s="53"/>
      <c r="F139" s="55">
        <f aca="true" t="shared" si="7" ref="F139:H140">F140</f>
        <v>163.7</v>
      </c>
      <c r="G139" s="55">
        <f t="shared" si="7"/>
        <v>180</v>
      </c>
      <c r="H139" s="55">
        <f t="shared" si="7"/>
        <v>180</v>
      </c>
      <c r="I139" s="21"/>
      <c r="J139" s="21"/>
      <c r="K139" s="21"/>
      <c r="O139" s="21"/>
      <c r="P139" s="108"/>
    </row>
    <row r="140" spans="1:16" s="14" customFormat="1" ht="30.75" customHeight="1">
      <c r="A140" s="53" t="s">
        <v>769</v>
      </c>
      <c r="B140" s="52" t="s">
        <v>16</v>
      </c>
      <c r="C140" s="53" t="s">
        <v>584</v>
      </c>
      <c r="D140" s="53" t="s">
        <v>11</v>
      </c>
      <c r="E140" s="53" t="s">
        <v>163</v>
      </c>
      <c r="F140" s="55">
        <f t="shared" si="7"/>
        <v>163.7</v>
      </c>
      <c r="G140" s="55">
        <f t="shared" si="7"/>
        <v>180</v>
      </c>
      <c r="H140" s="55">
        <f t="shared" si="7"/>
        <v>180</v>
      </c>
      <c r="I140" s="21"/>
      <c r="J140" s="21"/>
      <c r="K140" s="21"/>
      <c r="O140" s="21"/>
      <c r="P140" s="108"/>
    </row>
    <row r="141" spans="1:16" s="14" customFormat="1" ht="30" customHeight="1">
      <c r="A141" s="53" t="s">
        <v>770</v>
      </c>
      <c r="B141" s="52" t="s">
        <v>17</v>
      </c>
      <c r="C141" s="53" t="s">
        <v>584</v>
      </c>
      <c r="D141" s="53" t="s">
        <v>7</v>
      </c>
      <c r="E141" s="53" t="s">
        <v>178</v>
      </c>
      <c r="F141" s="48">
        <f>180-16.3</f>
        <v>163.7</v>
      </c>
      <c r="G141" s="48">
        <v>180</v>
      </c>
      <c r="H141" s="48">
        <v>180</v>
      </c>
      <c r="I141" s="21"/>
      <c r="J141" s="21"/>
      <c r="K141" s="21"/>
      <c r="M141" s="14">
        <v>-175</v>
      </c>
      <c r="O141" s="21"/>
      <c r="P141" s="107">
        <v>-16.3</v>
      </c>
    </row>
    <row r="142" spans="1:16" s="14" customFormat="1" ht="99.75" customHeight="1">
      <c r="A142" s="53" t="s">
        <v>475</v>
      </c>
      <c r="B142" s="68" t="s">
        <v>561</v>
      </c>
      <c r="C142" s="53" t="s">
        <v>585</v>
      </c>
      <c r="D142" s="53"/>
      <c r="E142" s="53"/>
      <c r="F142" s="55">
        <f aca="true" t="shared" si="8" ref="F142:H143">F143</f>
        <v>60</v>
      </c>
      <c r="G142" s="55">
        <f t="shared" si="8"/>
        <v>60</v>
      </c>
      <c r="H142" s="55">
        <f t="shared" si="8"/>
        <v>60</v>
      </c>
      <c r="I142" s="21"/>
      <c r="J142" s="21"/>
      <c r="K142" s="21"/>
      <c r="O142" s="21"/>
      <c r="P142" s="108"/>
    </row>
    <row r="143" spans="1:16" s="14" customFormat="1" ht="32.25" customHeight="1">
      <c r="A143" s="53" t="s">
        <v>875</v>
      </c>
      <c r="B143" s="52" t="s">
        <v>16</v>
      </c>
      <c r="C143" s="53" t="s">
        <v>585</v>
      </c>
      <c r="D143" s="53" t="s">
        <v>11</v>
      </c>
      <c r="E143" s="53" t="s">
        <v>163</v>
      </c>
      <c r="F143" s="55">
        <f t="shared" si="8"/>
        <v>60</v>
      </c>
      <c r="G143" s="55">
        <f t="shared" si="8"/>
        <v>60</v>
      </c>
      <c r="H143" s="55">
        <f t="shared" si="8"/>
        <v>60</v>
      </c>
      <c r="I143" s="21"/>
      <c r="J143" s="21"/>
      <c r="K143" s="21"/>
      <c r="O143" s="21"/>
      <c r="P143" s="108"/>
    </row>
    <row r="144" spans="1:16" s="14" customFormat="1" ht="33.75" customHeight="1">
      <c r="A144" s="53" t="s">
        <v>876</v>
      </c>
      <c r="B144" s="52" t="s">
        <v>17</v>
      </c>
      <c r="C144" s="53" t="s">
        <v>585</v>
      </c>
      <c r="D144" s="53" t="s">
        <v>7</v>
      </c>
      <c r="E144" s="53" t="s">
        <v>177</v>
      </c>
      <c r="F144" s="48">
        <v>60</v>
      </c>
      <c r="G144" s="48">
        <v>60</v>
      </c>
      <c r="H144" s="48">
        <v>60</v>
      </c>
      <c r="I144" s="21"/>
      <c r="J144" s="21"/>
      <c r="K144" s="21"/>
      <c r="M144" s="14">
        <v>-30</v>
      </c>
      <c r="O144" s="20"/>
      <c r="P144" s="108"/>
    </row>
    <row r="145" spans="1:16" s="14" customFormat="1" ht="81" customHeight="1">
      <c r="A145" s="53" t="s">
        <v>326</v>
      </c>
      <c r="B145" s="75" t="s">
        <v>1006</v>
      </c>
      <c r="C145" s="53" t="s">
        <v>655</v>
      </c>
      <c r="D145" s="53"/>
      <c r="E145" s="53"/>
      <c r="F145" s="48">
        <f>F146+F150</f>
        <v>3800.2000000000007</v>
      </c>
      <c r="G145" s="48">
        <f>G146+G150</f>
        <v>3876</v>
      </c>
      <c r="H145" s="48">
        <f>H146+H150</f>
        <v>3876</v>
      </c>
      <c r="I145" s="21"/>
      <c r="J145" s="21"/>
      <c r="K145" s="21"/>
      <c r="M145" s="42">
        <v>978</v>
      </c>
      <c r="O145" s="21"/>
      <c r="P145" s="108"/>
    </row>
    <row r="146" spans="1:16" s="14" customFormat="1" ht="32.25" customHeight="1">
      <c r="A146" s="53" t="s">
        <v>59</v>
      </c>
      <c r="B146" s="52" t="s">
        <v>162</v>
      </c>
      <c r="C146" s="53" t="s">
        <v>655</v>
      </c>
      <c r="D146" s="53" t="s">
        <v>31</v>
      </c>
      <c r="E146" s="53" t="s">
        <v>163</v>
      </c>
      <c r="F146" s="48">
        <f>F147+F148+F149</f>
        <v>3778.9000000000005</v>
      </c>
      <c r="G146" s="48">
        <f>G147+G148+G149</f>
        <v>3857</v>
      </c>
      <c r="H146" s="48">
        <f>H147+H148+H149</f>
        <v>3857</v>
      </c>
      <c r="I146" s="21"/>
      <c r="J146" s="21"/>
      <c r="K146" s="21"/>
      <c r="O146" s="21"/>
      <c r="P146" s="108"/>
    </row>
    <row r="147" spans="1:16" s="14" customFormat="1" ht="18.75" customHeight="1">
      <c r="A147" s="53" t="s">
        <v>1009</v>
      </c>
      <c r="B147" s="52" t="s">
        <v>33</v>
      </c>
      <c r="C147" s="53" t="s">
        <v>655</v>
      </c>
      <c r="D147" s="53" t="s">
        <v>32</v>
      </c>
      <c r="E147" s="53" t="s">
        <v>361</v>
      </c>
      <c r="F147" s="48">
        <f>3819-82.7</f>
        <v>3736.3</v>
      </c>
      <c r="G147" s="48">
        <v>3819</v>
      </c>
      <c r="H147" s="48">
        <v>3819</v>
      </c>
      <c r="I147" s="21"/>
      <c r="J147" s="21"/>
      <c r="K147" s="21"/>
      <c r="O147" s="21"/>
      <c r="P147" s="108"/>
    </row>
    <row r="148" spans="1:16" s="14" customFormat="1" ht="20.25" customHeight="1">
      <c r="A148" s="53" t="s">
        <v>1010</v>
      </c>
      <c r="B148" s="76" t="s">
        <v>656</v>
      </c>
      <c r="C148" s="53" t="s">
        <v>655</v>
      </c>
      <c r="D148" s="53" t="s">
        <v>540</v>
      </c>
      <c r="E148" s="53" t="s">
        <v>361</v>
      </c>
      <c r="F148" s="48">
        <f>19+2.3</f>
        <v>21.3</v>
      </c>
      <c r="G148" s="48">
        <v>19</v>
      </c>
      <c r="H148" s="48">
        <v>19</v>
      </c>
      <c r="I148" s="21"/>
      <c r="J148" s="21"/>
      <c r="K148" s="21"/>
      <c r="O148" s="21"/>
      <c r="P148" s="108"/>
    </row>
    <row r="149" spans="1:16" s="14" customFormat="1" ht="33.75" customHeight="1">
      <c r="A149" s="53" t="s">
        <v>1011</v>
      </c>
      <c r="B149" s="75" t="s">
        <v>657</v>
      </c>
      <c r="C149" s="53" t="s">
        <v>655</v>
      </c>
      <c r="D149" s="53" t="s">
        <v>573</v>
      </c>
      <c r="E149" s="53" t="s">
        <v>361</v>
      </c>
      <c r="F149" s="48">
        <f>19+2.3</f>
        <v>21.3</v>
      </c>
      <c r="G149" s="48">
        <v>19</v>
      </c>
      <c r="H149" s="48">
        <v>19</v>
      </c>
      <c r="I149" s="21"/>
      <c r="J149" s="21"/>
      <c r="K149" s="21"/>
      <c r="O149" s="21"/>
      <c r="P149" s="108"/>
    </row>
    <row r="150" spans="1:16" s="14" customFormat="1" ht="22.5" customHeight="1">
      <c r="A150" s="53" t="s">
        <v>60</v>
      </c>
      <c r="B150" s="68" t="s">
        <v>119</v>
      </c>
      <c r="C150" s="53" t="s">
        <v>655</v>
      </c>
      <c r="D150" s="53" t="s">
        <v>122</v>
      </c>
      <c r="E150" s="53" t="s">
        <v>163</v>
      </c>
      <c r="F150" s="55">
        <f>F151</f>
        <v>21.3</v>
      </c>
      <c r="G150" s="55">
        <f>G151</f>
        <v>19</v>
      </c>
      <c r="H150" s="55">
        <f>H151</f>
        <v>19</v>
      </c>
      <c r="I150" s="21"/>
      <c r="J150" s="21"/>
      <c r="K150" s="21"/>
      <c r="O150" s="21"/>
      <c r="P150" s="108"/>
    </row>
    <row r="151" spans="1:16" s="14" customFormat="1" ht="42" customHeight="1">
      <c r="A151" s="53" t="s">
        <v>61</v>
      </c>
      <c r="B151" s="75" t="s">
        <v>658</v>
      </c>
      <c r="C151" s="53" t="s">
        <v>655</v>
      </c>
      <c r="D151" s="53" t="s">
        <v>159</v>
      </c>
      <c r="E151" s="53" t="s">
        <v>361</v>
      </c>
      <c r="F151" s="48">
        <f>19+2.3</f>
        <v>21.3</v>
      </c>
      <c r="G151" s="48">
        <v>19</v>
      </c>
      <c r="H151" s="48">
        <v>19</v>
      </c>
      <c r="I151" s="21"/>
      <c r="J151" s="21"/>
      <c r="K151" s="21"/>
      <c r="L151" s="14">
        <v>1</v>
      </c>
      <c r="O151" s="21"/>
      <c r="P151" s="108"/>
    </row>
    <row r="152" spans="1:16" s="14" customFormat="1" ht="71.25" customHeight="1">
      <c r="A152" s="53" t="s">
        <v>62</v>
      </c>
      <c r="B152" s="68" t="s">
        <v>548</v>
      </c>
      <c r="C152" s="53" t="s">
        <v>586</v>
      </c>
      <c r="D152" s="53"/>
      <c r="E152" s="53"/>
      <c r="F152" s="48">
        <f>SUM(F155+F153)</f>
        <v>56.3</v>
      </c>
      <c r="G152" s="48">
        <f>SUM(G155)</f>
        <v>40</v>
      </c>
      <c r="H152" s="48">
        <f>SUM(H155)</f>
        <v>40</v>
      </c>
      <c r="I152" s="21"/>
      <c r="J152" s="21"/>
      <c r="K152" s="21"/>
      <c r="O152" s="21"/>
      <c r="P152" s="108"/>
    </row>
    <row r="153" spans="1:16" s="14" customFormat="1" ht="42.75" customHeight="1">
      <c r="A153" s="53" t="s">
        <v>63</v>
      </c>
      <c r="B153" s="52" t="s">
        <v>16</v>
      </c>
      <c r="C153" s="53" t="s">
        <v>586</v>
      </c>
      <c r="D153" s="53" t="s">
        <v>11</v>
      </c>
      <c r="E153" s="53" t="s">
        <v>163</v>
      </c>
      <c r="F153" s="48">
        <f aca="true" t="shared" si="9" ref="F153:H161">SUM(F154)</f>
        <v>15.2</v>
      </c>
      <c r="G153" s="48">
        <f t="shared" si="9"/>
        <v>0</v>
      </c>
      <c r="H153" s="48">
        <f t="shared" si="9"/>
        <v>0</v>
      </c>
      <c r="I153" s="21"/>
      <c r="J153" s="21"/>
      <c r="K153" s="21"/>
      <c r="O153" s="21"/>
      <c r="P153" s="108"/>
    </row>
    <row r="154" spans="1:16" s="14" customFormat="1" ht="41.25" customHeight="1">
      <c r="A154" s="53" t="s">
        <v>771</v>
      </c>
      <c r="B154" s="52" t="s">
        <v>17</v>
      </c>
      <c r="C154" s="53" t="s">
        <v>586</v>
      </c>
      <c r="D154" s="53" t="s">
        <v>7</v>
      </c>
      <c r="E154" s="53" t="s">
        <v>172</v>
      </c>
      <c r="F154" s="48">
        <v>15.2</v>
      </c>
      <c r="G154" s="48">
        <v>0</v>
      </c>
      <c r="H154" s="48">
        <v>0</v>
      </c>
      <c r="I154" s="21"/>
      <c r="J154" s="21"/>
      <c r="K154" s="21"/>
      <c r="O154" s="21"/>
      <c r="P154" s="107">
        <v>15.2</v>
      </c>
    </row>
    <row r="155" spans="1:16" s="14" customFormat="1" ht="30" customHeight="1">
      <c r="A155" s="53" t="s">
        <v>877</v>
      </c>
      <c r="B155" s="52" t="s">
        <v>162</v>
      </c>
      <c r="C155" s="53" t="s">
        <v>586</v>
      </c>
      <c r="D155" s="53" t="s">
        <v>31</v>
      </c>
      <c r="E155" s="53" t="s">
        <v>163</v>
      </c>
      <c r="F155" s="48">
        <f t="shared" si="9"/>
        <v>41.1</v>
      </c>
      <c r="G155" s="48">
        <f t="shared" si="9"/>
        <v>40</v>
      </c>
      <c r="H155" s="48">
        <f t="shared" si="9"/>
        <v>40</v>
      </c>
      <c r="I155" s="21"/>
      <c r="J155" s="21"/>
      <c r="K155" s="21"/>
      <c r="O155" s="21"/>
      <c r="P155" s="108"/>
    </row>
    <row r="156" spans="1:16" s="14" customFormat="1" ht="21.75" customHeight="1">
      <c r="A156" s="53" t="s">
        <v>878</v>
      </c>
      <c r="B156" s="52" t="s">
        <v>33</v>
      </c>
      <c r="C156" s="53" t="s">
        <v>586</v>
      </c>
      <c r="D156" s="53" t="s">
        <v>32</v>
      </c>
      <c r="E156" s="53" t="s">
        <v>172</v>
      </c>
      <c r="F156" s="48">
        <f>40+1.1</f>
        <v>41.1</v>
      </c>
      <c r="G156" s="48">
        <v>40</v>
      </c>
      <c r="H156" s="48">
        <v>40</v>
      </c>
      <c r="I156" s="21"/>
      <c r="J156" s="21"/>
      <c r="K156" s="21"/>
      <c r="M156" s="42">
        <v>-3</v>
      </c>
      <c r="O156" s="21"/>
      <c r="P156" s="107">
        <v>1.1</v>
      </c>
    </row>
    <row r="157" spans="1:16" s="14" customFormat="1" ht="121.5" customHeight="1">
      <c r="A157" s="53" t="s">
        <v>879</v>
      </c>
      <c r="B157" s="77" t="s">
        <v>1136</v>
      </c>
      <c r="C157" s="53" t="s">
        <v>1135</v>
      </c>
      <c r="D157" s="53"/>
      <c r="E157" s="53"/>
      <c r="F157" s="48">
        <f t="shared" si="9"/>
        <v>900</v>
      </c>
      <c r="G157" s="48">
        <f t="shared" si="9"/>
        <v>0</v>
      </c>
      <c r="H157" s="48">
        <f t="shared" si="9"/>
        <v>0</v>
      </c>
      <c r="I157" s="21"/>
      <c r="J157" s="21"/>
      <c r="K157" s="21"/>
      <c r="M157" s="42"/>
      <c r="O157" s="21"/>
      <c r="P157" s="108"/>
    </row>
    <row r="158" spans="1:16" s="14" customFormat="1" ht="34.5" customHeight="1">
      <c r="A158" s="53" t="s">
        <v>880</v>
      </c>
      <c r="B158" s="52" t="s">
        <v>16</v>
      </c>
      <c r="C158" s="53" t="s">
        <v>1135</v>
      </c>
      <c r="D158" s="53" t="s">
        <v>11</v>
      </c>
      <c r="E158" s="53" t="s">
        <v>163</v>
      </c>
      <c r="F158" s="48">
        <f t="shared" si="9"/>
        <v>900</v>
      </c>
      <c r="G158" s="48">
        <f t="shared" si="9"/>
        <v>0</v>
      </c>
      <c r="H158" s="48">
        <f t="shared" si="9"/>
        <v>0</v>
      </c>
      <c r="I158" s="21"/>
      <c r="J158" s="21"/>
      <c r="K158" s="21"/>
      <c r="M158" s="42"/>
      <c r="O158" s="21"/>
      <c r="P158" s="108"/>
    </row>
    <row r="159" spans="1:16" s="14" customFormat="1" ht="36.75" customHeight="1">
      <c r="A159" s="53" t="s">
        <v>881</v>
      </c>
      <c r="B159" s="52" t="s">
        <v>17</v>
      </c>
      <c r="C159" s="53" t="s">
        <v>1135</v>
      </c>
      <c r="D159" s="53" t="s">
        <v>7</v>
      </c>
      <c r="E159" s="53" t="s">
        <v>172</v>
      </c>
      <c r="F159" s="48">
        <v>900</v>
      </c>
      <c r="G159" s="48">
        <v>0</v>
      </c>
      <c r="H159" s="48">
        <v>0</v>
      </c>
      <c r="I159" s="21"/>
      <c r="J159" s="21"/>
      <c r="K159" s="21"/>
      <c r="M159" s="42"/>
      <c r="O159" s="21"/>
      <c r="P159" s="107">
        <v>900</v>
      </c>
    </row>
    <row r="160" spans="1:16" s="14" customFormat="1" ht="121.5" customHeight="1">
      <c r="A160" s="53" t="s">
        <v>882</v>
      </c>
      <c r="B160" s="77" t="s">
        <v>1137</v>
      </c>
      <c r="C160" s="53" t="s">
        <v>1135</v>
      </c>
      <c r="D160" s="53"/>
      <c r="E160" s="53"/>
      <c r="F160" s="48">
        <f t="shared" si="9"/>
        <v>9.1</v>
      </c>
      <c r="G160" s="48">
        <f t="shared" si="9"/>
        <v>0</v>
      </c>
      <c r="H160" s="48">
        <f t="shared" si="9"/>
        <v>0</v>
      </c>
      <c r="I160" s="21"/>
      <c r="J160" s="21"/>
      <c r="K160" s="21"/>
      <c r="M160" s="42"/>
      <c r="O160" s="21"/>
      <c r="P160" s="99"/>
    </row>
    <row r="161" spans="1:16" s="14" customFormat="1" ht="37.5" customHeight="1">
      <c r="A161" s="53" t="s">
        <v>281</v>
      </c>
      <c r="B161" s="52" t="s">
        <v>16</v>
      </c>
      <c r="C161" s="53" t="s">
        <v>1135</v>
      </c>
      <c r="D161" s="53" t="s">
        <v>11</v>
      </c>
      <c r="E161" s="53" t="s">
        <v>163</v>
      </c>
      <c r="F161" s="48">
        <f t="shared" si="9"/>
        <v>9.1</v>
      </c>
      <c r="G161" s="48">
        <f t="shared" si="9"/>
        <v>0</v>
      </c>
      <c r="H161" s="48">
        <f t="shared" si="9"/>
        <v>0</v>
      </c>
      <c r="I161" s="21"/>
      <c r="J161" s="21"/>
      <c r="K161" s="21"/>
      <c r="M161" s="42"/>
      <c r="O161" s="21"/>
      <c r="P161" s="99"/>
    </row>
    <row r="162" spans="1:16" s="14" customFormat="1" ht="34.5" customHeight="1">
      <c r="A162" s="53" t="s">
        <v>282</v>
      </c>
      <c r="B162" s="52" t="s">
        <v>17</v>
      </c>
      <c r="C162" s="53" t="s">
        <v>1135</v>
      </c>
      <c r="D162" s="53" t="s">
        <v>7</v>
      </c>
      <c r="E162" s="53" t="s">
        <v>172</v>
      </c>
      <c r="F162" s="48">
        <v>9.1</v>
      </c>
      <c r="G162" s="48">
        <v>0</v>
      </c>
      <c r="H162" s="48">
        <v>0</v>
      </c>
      <c r="I162" s="21"/>
      <c r="J162" s="21"/>
      <c r="K162" s="21"/>
      <c r="M162" s="42"/>
      <c r="O162" s="21"/>
      <c r="P162" s="107">
        <v>9.1</v>
      </c>
    </row>
    <row r="163" spans="1:16" s="14" customFormat="1" ht="69.75" customHeight="1">
      <c r="A163" s="53" t="s">
        <v>283</v>
      </c>
      <c r="B163" s="77" t="s">
        <v>446</v>
      </c>
      <c r="C163" s="53" t="s">
        <v>445</v>
      </c>
      <c r="D163" s="53"/>
      <c r="E163" s="53"/>
      <c r="F163" s="48">
        <f>SUM(F169+F165+F167)</f>
        <v>1305</v>
      </c>
      <c r="G163" s="48">
        <f>SUM(G169+G165+G167)</f>
        <v>1720.5</v>
      </c>
      <c r="H163" s="48">
        <f>SUM(H169+H165+H167)</f>
        <v>1720.5</v>
      </c>
      <c r="I163" s="21"/>
      <c r="J163" s="21"/>
      <c r="K163" s="21"/>
      <c r="M163" s="42"/>
      <c r="O163" s="21"/>
      <c r="P163" s="108"/>
    </row>
    <row r="164" spans="1:16" s="14" customFormat="1" ht="40.5" customHeight="1">
      <c r="A164" s="53" t="s">
        <v>284</v>
      </c>
      <c r="B164" s="52" t="s">
        <v>16</v>
      </c>
      <c r="C164" s="53" t="s">
        <v>445</v>
      </c>
      <c r="D164" s="53" t="s">
        <v>11</v>
      </c>
      <c r="E164" s="53" t="s">
        <v>163</v>
      </c>
      <c r="F164" s="48">
        <f>SUM(F165)</f>
        <v>1305</v>
      </c>
      <c r="G164" s="48">
        <f>SUM(G165)</f>
        <v>1044</v>
      </c>
      <c r="H164" s="48">
        <f>SUM(H165)</f>
        <v>1044</v>
      </c>
      <c r="I164" s="21"/>
      <c r="J164" s="21"/>
      <c r="K164" s="21"/>
      <c r="M164" s="42"/>
      <c r="O164" s="21"/>
      <c r="P164" s="108"/>
    </row>
    <row r="165" spans="1:16" s="14" customFormat="1" ht="42.75" customHeight="1">
      <c r="A165" s="53" t="s">
        <v>285</v>
      </c>
      <c r="B165" s="52" t="s">
        <v>17</v>
      </c>
      <c r="C165" s="53" t="s">
        <v>445</v>
      </c>
      <c r="D165" s="53" t="s">
        <v>7</v>
      </c>
      <c r="E165" s="53" t="s">
        <v>172</v>
      </c>
      <c r="F165" s="48">
        <f>955+350</f>
        <v>1305</v>
      </c>
      <c r="G165" s="48">
        <v>1044</v>
      </c>
      <c r="H165" s="48">
        <v>1044</v>
      </c>
      <c r="I165" s="21"/>
      <c r="J165" s="21"/>
      <c r="K165" s="21"/>
      <c r="M165" s="42"/>
      <c r="O165" s="21"/>
      <c r="P165" s="107">
        <v>350</v>
      </c>
    </row>
    <row r="166" spans="1:16" s="14" customFormat="1" ht="42.75" customHeight="1">
      <c r="A166" s="53" t="s">
        <v>883</v>
      </c>
      <c r="B166" s="52" t="s">
        <v>162</v>
      </c>
      <c r="C166" s="53" t="s">
        <v>445</v>
      </c>
      <c r="D166" s="53" t="s">
        <v>31</v>
      </c>
      <c r="E166" s="53" t="s">
        <v>163</v>
      </c>
      <c r="F166" s="48">
        <f>SUM(F167)</f>
        <v>0</v>
      </c>
      <c r="G166" s="48">
        <f>SUM(G167)</f>
        <v>0</v>
      </c>
      <c r="H166" s="48">
        <f>SUM(H167)</f>
        <v>0</v>
      </c>
      <c r="I166" s="21"/>
      <c r="J166" s="21"/>
      <c r="K166" s="21"/>
      <c r="M166" s="42"/>
      <c r="O166" s="21"/>
      <c r="P166" s="108"/>
    </row>
    <row r="167" spans="1:16" s="14" customFormat="1" ht="42.75" customHeight="1">
      <c r="A167" s="53" t="s">
        <v>884</v>
      </c>
      <c r="B167" s="52" t="s">
        <v>33</v>
      </c>
      <c r="C167" s="53" t="s">
        <v>445</v>
      </c>
      <c r="D167" s="53" t="s">
        <v>32</v>
      </c>
      <c r="E167" s="53" t="s">
        <v>172</v>
      </c>
      <c r="F167" s="48">
        <f>350-350</f>
        <v>0</v>
      </c>
      <c r="G167" s="48">
        <v>0</v>
      </c>
      <c r="H167" s="48">
        <v>0</v>
      </c>
      <c r="I167" s="21"/>
      <c r="J167" s="21"/>
      <c r="K167" s="21"/>
      <c r="M167" s="42"/>
      <c r="O167" s="21"/>
      <c r="P167" s="107">
        <v>-350</v>
      </c>
    </row>
    <row r="168" spans="1:16" s="14" customFormat="1" ht="33.75" customHeight="1">
      <c r="A168" s="53" t="s">
        <v>885</v>
      </c>
      <c r="B168" s="52" t="s">
        <v>162</v>
      </c>
      <c r="C168" s="53" t="s">
        <v>445</v>
      </c>
      <c r="D168" s="53" t="s">
        <v>31</v>
      </c>
      <c r="E168" s="53" t="s">
        <v>163</v>
      </c>
      <c r="F168" s="48">
        <f>SUM(F169)</f>
        <v>0</v>
      </c>
      <c r="G168" s="48">
        <f>SUM(G169)</f>
        <v>676.5</v>
      </c>
      <c r="H168" s="48">
        <f>SUM(H169)</f>
        <v>676.5</v>
      </c>
      <c r="I168" s="21"/>
      <c r="J168" s="21"/>
      <c r="K168" s="21"/>
      <c r="M168" s="42"/>
      <c r="O168" s="21"/>
      <c r="P168" s="108"/>
    </row>
    <row r="169" spans="1:16" s="14" customFormat="1" ht="35.25" customHeight="1">
      <c r="A169" s="53" t="s">
        <v>886</v>
      </c>
      <c r="B169" s="52" t="s">
        <v>33</v>
      </c>
      <c r="C169" s="53" t="s">
        <v>445</v>
      </c>
      <c r="D169" s="53" t="s">
        <v>32</v>
      </c>
      <c r="E169" s="53" t="s">
        <v>164</v>
      </c>
      <c r="F169" s="48">
        <f>676.5-676.5</f>
        <v>0</v>
      </c>
      <c r="G169" s="48">
        <v>676.5</v>
      </c>
      <c r="H169" s="48">
        <v>676.5</v>
      </c>
      <c r="I169" s="21"/>
      <c r="J169" s="21"/>
      <c r="K169" s="21"/>
      <c r="M169" s="42"/>
      <c r="O169" s="20"/>
      <c r="P169" s="107">
        <v>-676.5</v>
      </c>
    </row>
    <row r="170" spans="1:16" s="14" customFormat="1" ht="67.5" customHeight="1">
      <c r="A170" s="53" t="s">
        <v>887</v>
      </c>
      <c r="B170" s="77" t="s">
        <v>447</v>
      </c>
      <c r="C170" s="53" t="s">
        <v>445</v>
      </c>
      <c r="D170" s="53"/>
      <c r="E170" s="53"/>
      <c r="F170" s="48">
        <f>SUM(F176+F172+F174)</f>
        <v>13.200000000000003</v>
      </c>
      <c r="G170" s="48">
        <f>SUM(G176+G172+G174)</f>
        <v>204.4</v>
      </c>
      <c r="H170" s="48">
        <f>SUM(H176+H172+H174)</f>
        <v>204.4</v>
      </c>
      <c r="I170" s="21"/>
      <c r="J170" s="21"/>
      <c r="K170" s="21"/>
      <c r="O170" s="21"/>
      <c r="P170" s="108"/>
    </row>
    <row r="171" spans="1:16" s="14" customFormat="1" ht="47.25" customHeight="1">
      <c r="A171" s="53" t="s">
        <v>286</v>
      </c>
      <c r="B171" s="52" t="s">
        <v>16</v>
      </c>
      <c r="C171" s="53" t="s">
        <v>445</v>
      </c>
      <c r="D171" s="53" t="s">
        <v>11</v>
      </c>
      <c r="E171" s="53" t="s">
        <v>163</v>
      </c>
      <c r="F171" s="48">
        <f>SUM(F172)</f>
        <v>13.200000000000003</v>
      </c>
      <c r="G171" s="48">
        <f>SUM(G172)</f>
        <v>104.4</v>
      </c>
      <c r="H171" s="48">
        <f>SUM(H172)</f>
        <v>104.4</v>
      </c>
      <c r="I171" s="21"/>
      <c r="J171" s="21"/>
      <c r="K171" s="21"/>
      <c r="O171" s="21"/>
      <c r="P171" s="108"/>
    </row>
    <row r="172" spans="1:16" s="14" customFormat="1" ht="45" customHeight="1">
      <c r="A172" s="53" t="s">
        <v>287</v>
      </c>
      <c r="B172" s="52" t="s">
        <v>17</v>
      </c>
      <c r="C172" s="53" t="s">
        <v>445</v>
      </c>
      <c r="D172" s="53" t="s">
        <v>7</v>
      </c>
      <c r="E172" s="53" t="s">
        <v>172</v>
      </c>
      <c r="F172" s="48">
        <f>95.5-82.3</f>
        <v>13.200000000000003</v>
      </c>
      <c r="G172" s="48">
        <v>104.4</v>
      </c>
      <c r="H172" s="48">
        <v>104.4</v>
      </c>
      <c r="I172" s="21"/>
      <c r="J172" s="21"/>
      <c r="K172" s="21"/>
      <c r="O172" s="21"/>
      <c r="P172" s="107">
        <v>-82.3</v>
      </c>
    </row>
    <row r="173" spans="1:16" s="14" customFormat="1" ht="45" customHeight="1">
      <c r="A173" s="53" t="s">
        <v>288</v>
      </c>
      <c r="B173" s="52" t="s">
        <v>162</v>
      </c>
      <c r="C173" s="53" t="s">
        <v>445</v>
      </c>
      <c r="D173" s="53" t="s">
        <v>31</v>
      </c>
      <c r="E173" s="53" t="s">
        <v>163</v>
      </c>
      <c r="F173" s="48">
        <f>SUM(F174)</f>
        <v>0</v>
      </c>
      <c r="G173" s="48">
        <f>SUM(G174)</f>
        <v>0</v>
      </c>
      <c r="H173" s="48">
        <f>SUM(H174)</f>
        <v>0</v>
      </c>
      <c r="I173" s="21"/>
      <c r="J173" s="21"/>
      <c r="K173" s="21"/>
      <c r="O173" s="21"/>
      <c r="P173" s="108"/>
    </row>
    <row r="174" spans="1:16" s="14" customFormat="1" ht="45" customHeight="1">
      <c r="A174" s="53" t="s">
        <v>289</v>
      </c>
      <c r="B174" s="52" t="s">
        <v>33</v>
      </c>
      <c r="C174" s="53" t="s">
        <v>445</v>
      </c>
      <c r="D174" s="53" t="s">
        <v>32</v>
      </c>
      <c r="E174" s="53" t="s">
        <v>172</v>
      </c>
      <c r="F174" s="48">
        <f>35-35</f>
        <v>0</v>
      </c>
      <c r="G174" s="48">
        <v>0</v>
      </c>
      <c r="H174" s="48">
        <v>0</v>
      </c>
      <c r="I174" s="21"/>
      <c r="J174" s="21"/>
      <c r="K174" s="21"/>
      <c r="O174" s="21"/>
      <c r="P174" s="107">
        <v>-35</v>
      </c>
    </row>
    <row r="175" spans="1:16" s="14" customFormat="1" ht="30.75" customHeight="1">
      <c r="A175" s="53" t="s">
        <v>290</v>
      </c>
      <c r="B175" s="52" t="s">
        <v>162</v>
      </c>
      <c r="C175" s="53" t="s">
        <v>445</v>
      </c>
      <c r="D175" s="53" t="s">
        <v>31</v>
      </c>
      <c r="E175" s="53" t="s">
        <v>163</v>
      </c>
      <c r="F175" s="48">
        <f>SUM(F176)</f>
        <v>0</v>
      </c>
      <c r="G175" s="48">
        <f>SUM(G176)</f>
        <v>100</v>
      </c>
      <c r="H175" s="48">
        <f>SUM(H176)</f>
        <v>100</v>
      </c>
      <c r="I175" s="21"/>
      <c r="J175" s="21"/>
      <c r="K175" s="21"/>
      <c r="O175" s="21"/>
      <c r="P175" s="108"/>
    </row>
    <row r="176" spans="1:16" s="14" customFormat="1" ht="34.5" customHeight="1">
      <c r="A176" s="53" t="s">
        <v>772</v>
      </c>
      <c r="B176" s="52" t="s">
        <v>33</v>
      </c>
      <c r="C176" s="53" t="s">
        <v>445</v>
      </c>
      <c r="D176" s="53" t="s">
        <v>32</v>
      </c>
      <c r="E176" s="53" t="s">
        <v>164</v>
      </c>
      <c r="F176" s="48">
        <f>100-100</f>
        <v>0</v>
      </c>
      <c r="G176" s="48">
        <v>100</v>
      </c>
      <c r="H176" s="48">
        <v>100</v>
      </c>
      <c r="I176" s="21"/>
      <c r="J176" s="21"/>
      <c r="K176" s="21"/>
      <c r="M176" s="42">
        <f>-83.3+21.6</f>
        <v>-61.699999999999996</v>
      </c>
      <c r="O176" s="21"/>
      <c r="P176" s="107">
        <v>-100</v>
      </c>
    </row>
    <row r="177" spans="1:16" s="14" customFormat="1" ht="97.5" customHeight="1">
      <c r="A177" s="53" t="s">
        <v>773</v>
      </c>
      <c r="B177" s="77" t="s">
        <v>1131</v>
      </c>
      <c r="C177" s="6" t="s">
        <v>1130</v>
      </c>
      <c r="D177" s="67"/>
      <c r="E177" s="67"/>
      <c r="F177" s="48">
        <f aca="true" t="shared" si="10" ref="F177:H178">SUM(F178)</f>
        <v>902</v>
      </c>
      <c r="G177" s="48">
        <f t="shared" si="10"/>
        <v>0</v>
      </c>
      <c r="H177" s="48">
        <f t="shared" si="10"/>
        <v>0</v>
      </c>
      <c r="P177" s="108"/>
    </row>
    <row r="178" spans="1:16" s="14" customFormat="1" ht="34.5" customHeight="1">
      <c r="A178" s="53" t="s">
        <v>291</v>
      </c>
      <c r="B178" s="52" t="s">
        <v>162</v>
      </c>
      <c r="C178" s="6" t="s">
        <v>1130</v>
      </c>
      <c r="D178" s="53" t="s">
        <v>31</v>
      </c>
      <c r="E178" s="53" t="s">
        <v>163</v>
      </c>
      <c r="F178" s="48">
        <f t="shared" si="10"/>
        <v>902</v>
      </c>
      <c r="G178" s="48">
        <f t="shared" si="10"/>
        <v>0</v>
      </c>
      <c r="H178" s="48">
        <f t="shared" si="10"/>
        <v>0</v>
      </c>
      <c r="I178" s="21"/>
      <c r="J178" s="21"/>
      <c r="K178" s="21"/>
      <c r="M178" s="42"/>
      <c r="O178" s="21"/>
      <c r="P178" s="108"/>
    </row>
    <row r="179" spans="1:16" s="14" customFormat="1" ht="34.5" customHeight="1">
      <c r="A179" s="53" t="s">
        <v>292</v>
      </c>
      <c r="B179" s="52" t="s">
        <v>33</v>
      </c>
      <c r="C179" s="6" t="s">
        <v>1130</v>
      </c>
      <c r="D179" s="53" t="s">
        <v>32</v>
      </c>
      <c r="E179" s="53" t="s">
        <v>164</v>
      </c>
      <c r="F179" s="48">
        <v>902</v>
      </c>
      <c r="G179" s="48">
        <v>0</v>
      </c>
      <c r="H179" s="48">
        <v>0</v>
      </c>
      <c r="I179" s="21"/>
      <c r="J179" s="21"/>
      <c r="K179" s="21"/>
      <c r="M179" s="42"/>
      <c r="O179" s="21"/>
      <c r="P179" s="107">
        <f>676.5+225.5</f>
        <v>902</v>
      </c>
    </row>
    <row r="180" spans="1:16" s="14" customFormat="1" ht="96" customHeight="1">
      <c r="A180" s="53" t="s">
        <v>327</v>
      </c>
      <c r="B180" s="77" t="s">
        <v>1132</v>
      </c>
      <c r="C180" s="6" t="s">
        <v>1130</v>
      </c>
      <c r="D180" s="53"/>
      <c r="E180" s="53"/>
      <c r="F180" s="48">
        <f aca="true" t="shared" si="11" ref="F180:H181">SUM(F181)</f>
        <v>9.1</v>
      </c>
      <c r="G180" s="48">
        <f t="shared" si="11"/>
        <v>0</v>
      </c>
      <c r="H180" s="48">
        <f t="shared" si="11"/>
        <v>0</v>
      </c>
      <c r="I180" s="21"/>
      <c r="J180" s="21"/>
      <c r="K180" s="21"/>
      <c r="M180" s="42"/>
      <c r="O180" s="21"/>
      <c r="P180" s="108"/>
    </row>
    <row r="181" spans="1:16" s="14" customFormat="1" ht="34.5" customHeight="1">
      <c r="A181" s="53" t="s">
        <v>328</v>
      </c>
      <c r="B181" s="52" t="s">
        <v>162</v>
      </c>
      <c r="C181" s="6" t="s">
        <v>1130</v>
      </c>
      <c r="D181" s="53" t="s">
        <v>31</v>
      </c>
      <c r="E181" s="53" t="s">
        <v>163</v>
      </c>
      <c r="F181" s="48">
        <f t="shared" si="11"/>
        <v>9.1</v>
      </c>
      <c r="G181" s="48">
        <f t="shared" si="11"/>
        <v>0</v>
      </c>
      <c r="H181" s="48">
        <f t="shared" si="11"/>
        <v>0</v>
      </c>
      <c r="I181" s="21"/>
      <c r="J181" s="21"/>
      <c r="K181" s="21"/>
      <c r="M181" s="42"/>
      <c r="O181" s="21"/>
      <c r="P181" s="108"/>
    </row>
    <row r="182" spans="1:16" s="14" customFormat="1" ht="34.5" customHeight="1">
      <c r="A182" s="53" t="s">
        <v>64</v>
      </c>
      <c r="B182" s="52" t="s">
        <v>33</v>
      </c>
      <c r="C182" s="6" t="s">
        <v>1130</v>
      </c>
      <c r="D182" s="53" t="s">
        <v>32</v>
      </c>
      <c r="E182" s="53" t="s">
        <v>164</v>
      </c>
      <c r="F182" s="48">
        <v>9.1</v>
      </c>
      <c r="G182" s="48">
        <v>0</v>
      </c>
      <c r="H182" s="48">
        <v>0</v>
      </c>
      <c r="I182" s="21"/>
      <c r="J182" s="21"/>
      <c r="K182" s="21"/>
      <c r="M182" s="42"/>
      <c r="O182" s="21"/>
      <c r="P182" s="107">
        <f>100-90.9</f>
        <v>9.099999999999994</v>
      </c>
    </row>
    <row r="183" spans="1:16" s="14" customFormat="1" ht="105" customHeight="1">
      <c r="A183" s="53" t="s">
        <v>774</v>
      </c>
      <c r="B183" s="52" t="s">
        <v>1150</v>
      </c>
      <c r="C183" s="53" t="s">
        <v>1149</v>
      </c>
      <c r="D183" s="53"/>
      <c r="E183" s="53"/>
      <c r="F183" s="48">
        <f>F184+F186+F188</f>
        <v>2.1</v>
      </c>
      <c r="G183" s="48">
        <f>G184+G186+G188</f>
        <v>0</v>
      </c>
      <c r="H183" s="48">
        <f>H184+H186+H188</f>
        <v>0</v>
      </c>
      <c r="I183" s="21"/>
      <c r="J183" s="21"/>
      <c r="K183" s="21"/>
      <c r="M183" s="42"/>
      <c r="O183" s="21"/>
      <c r="P183" s="99"/>
    </row>
    <row r="184" spans="1:16" s="14" customFormat="1" ht="34.5" customHeight="1">
      <c r="A184" s="53" t="s">
        <v>775</v>
      </c>
      <c r="B184" s="52" t="s">
        <v>16</v>
      </c>
      <c r="C184" s="53" t="s">
        <v>1149</v>
      </c>
      <c r="D184" s="53" t="s">
        <v>11</v>
      </c>
      <c r="E184" s="53" t="s">
        <v>9</v>
      </c>
      <c r="F184" s="48">
        <f>SUM(F185)</f>
        <v>1</v>
      </c>
      <c r="G184" s="48">
        <f>SUM(G185)</f>
        <v>0</v>
      </c>
      <c r="H184" s="48">
        <f>SUM(H185)</f>
        <v>0</v>
      </c>
      <c r="I184" s="21"/>
      <c r="J184" s="21"/>
      <c r="K184" s="21"/>
      <c r="M184" s="42"/>
      <c r="O184" s="21"/>
      <c r="P184" s="99"/>
    </row>
    <row r="185" spans="1:16" s="14" customFormat="1" ht="34.5" customHeight="1">
      <c r="A185" s="53" t="s">
        <v>476</v>
      </c>
      <c r="B185" s="52" t="s">
        <v>17</v>
      </c>
      <c r="C185" s="53" t="s">
        <v>1149</v>
      </c>
      <c r="D185" s="53" t="s">
        <v>7</v>
      </c>
      <c r="E185" s="53" t="s">
        <v>149</v>
      </c>
      <c r="F185" s="48">
        <v>1</v>
      </c>
      <c r="G185" s="48">
        <v>0</v>
      </c>
      <c r="H185" s="48">
        <v>0</v>
      </c>
      <c r="I185" s="21"/>
      <c r="J185" s="21"/>
      <c r="K185" s="21"/>
      <c r="M185" s="42"/>
      <c r="O185" s="21"/>
      <c r="P185" s="107">
        <v>1</v>
      </c>
    </row>
    <row r="186" spans="1:16" s="14" customFormat="1" ht="34.5" customHeight="1">
      <c r="A186" s="53" t="s">
        <v>477</v>
      </c>
      <c r="B186" s="68" t="s">
        <v>183</v>
      </c>
      <c r="C186" s="53" t="s">
        <v>1149</v>
      </c>
      <c r="D186" s="53" t="s">
        <v>184</v>
      </c>
      <c r="E186" s="53" t="s">
        <v>9</v>
      </c>
      <c r="F186" s="48">
        <f>SUM(F187)</f>
        <v>0.2</v>
      </c>
      <c r="G186" s="48">
        <f>SUM(G187)</f>
        <v>0</v>
      </c>
      <c r="H186" s="48">
        <f>SUM(H187)</f>
        <v>0</v>
      </c>
      <c r="I186" s="21"/>
      <c r="J186" s="21"/>
      <c r="K186" s="21"/>
      <c r="M186" s="42"/>
      <c r="O186" s="21"/>
      <c r="P186" s="99"/>
    </row>
    <row r="187" spans="1:16" s="14" customFormat="1" ht="34.5" customHeight="1">
      <c r="A187" s="53" t="s">
        <v>478</v>
      </c>
      <c r="B187" s="68" t="s">
        <v>150</v>
      </c>
      <c r="C187" s="53" t="s">
        <v>1149</v>
      </c>
      <c r="D187" s="53" t="s">
        <v>151</v>
      </c>
      <c r="E187" s="53" t="s">
        <v>149</v>
      </c>
      <c r="F187" s="48">
        <v>0.2</v>
      </c>
      <c r="G187" s="48">
        <v>0</v>
      </c>
      <c r="H187" s="48">
        <v>0</v>
      </c>
      <c r="I187" s="21"/>
      <c r="J187" s="21"/>
      <c r="K187" s="21"/>
      <c r="M187" s="42"/>
      <c r="O187" s="21"/>
      <c r="P187" s="107">
        <v>0.2</v>
      </c>
    </row>
    <row r="188" spans="1:16" s="14" customFormat="1" ht="34.5" customHeight="1">
      <c r="A188" s="53" t="s">
        <v>479</v>
      </c>
      <c r="B188" s="52" t="s">
        <v>162</v>
      </c>
      <c r="C188" s="53" t="s">
        <v>1149</v>
      </c>
      <c r="D188" s="53" t="s">
        <v>31</v>
      </c>
      <c r="E188" s="53" t="s">
        <v>9</v>
      </c>
      <c r="F188" s="48">
        <f>SUM(F189)</f>
        <v>0.9</v>
      </c>
      <c r="G188" s="48">
        <f>SUM(G189)</f>
        <v>0</v>
      </c>
      <c r="H188" s="48">
        <f>SUM(H189)</f>
        <v>0</v>
      </c>
      <c r="I188" s="21"/>
      <c r="J188" s="21"/>
      <c r="K188" s="21"/>
      <c r="M188" s="42"/>
      <c r="O188" s="21"/>
      <c r="P188" s="99"/>
    </row>
    <row r="189" spans="1:16" s="14" customFormat="1" ht="34.5" customHeight="1">
      <c r="A189" s="53" t="s">
        <v>480</v>
      </c>
      <c r="B189" s="52" t="s">
        <v>33</v>
      </c>
      <c r="C189" s="53" t="s">
        <v>1149</v>
      </c>
      <c r="D189" s="53" t="s">
        <v>32</v>
      </c>
      <c r="E189" s="53" t="s">
        <v>149</v>
      </c>
      <c r="F189" s="48">
        <v>0.9</v>
      </c>
      <c r="G189" s="48">
        <v>0</v>
      </c>
      <c r="H189" s="48">
        <v>0</v>
      </c>
      <c r="I189" s="21"/>
      <c r="J189" s="21"/>
      <c r="K189" s="21"/>
      <c r="M189" s="42"/>
      <c r="O189" s="21"/>
      <c r="P189" s="107">
        <v>0.9</v>
      </c>
    </row>
    <row r="190" spans="1:16" s="14" customFormat="1" ht="105" customHeight="1">
      <c r="A190" s="53" t="s">
        <v>329</v>
      </c>
      <c r="B190" s="52" t="s">
        <v>1151</v>
      </c>
      <c r="C190" s="53" t="s">
        <v>1149</v>
      </c>
      <c r="D190" s="53"/>
      <c r="E190" s="53"/>
      <c r="F190" s="48">
        <f>F191+F193+F195</f>
        <v>2075.1</v>
      </c>
      <c r="G190" s="48">
        <f>G191+G193+G195</f>
        <v>0</v>
      </c>
      <c r="H190" s="48">
        <f>H191+H193+H195</f>
        <v>0</v>
      </c>
      <c r="I190" s="21"/>
      <c r="J190" s="21"/>
      <c r="K190" s="21"/>
      <c r="M190" s="42"/>
      <c r="O190" s="21"/>
      <c r="P190" s="99"/>
    </row>
    <row r="191" spans="1:16" s="14" customFormat="1" ht="34.5" customHeight="1">
      <c r="A191" s="53" t="s">
        <v>330</v>
      </c>
      <c r="B191" s="52" t="s">
        <v>16</v>
      </c>
      <c r="C191" s="53" t="s">
        <v>1149</v>
      </c>
      <c r="D191" s="53" t="s">
        <v>11</v>
      </c>
      <c r="E191" s="53" t="s">
        <v>9</v>
      </c>
      <c r="F191" s="48">
        <f>SUM(F192)</f>
        <v>1015.3</v>
      </c>
      <c r="G191" s="48">
        <f>SUM(G192)</f>
        <v>0</v>
      </c>
      <c r="H191" s="48">
        <f>SUM(H192)</f>
        <v>0</v>
      </c>
      <c r="I191" s="21"/>
      <c r="J191" s="21"/>
      <c r="K191" s="21"/>
      <c r="M191" s="42"/>
      <c r="O191" s="21"/>
      <c r="P191" s="99"/>
    </row>
    <row r="192" spans="1:16" s="14" customFormat="1" ht="34.5" customHeight="1">
      <c r="A192" s="53" t="s">
        <v>65</v>
      </c>
      <c r="B192" s="52" t="s">
        <v>17</v>
      </c>
      <c r="C192" s="53" t="s">
        <v>1149</v>
      </c>
      <c r="D192" s="53" t="s">
        <v>7</v>
      </c>
      <c r="E192" s="53" t="s">
        <v>149</v>
      </c>
      <c r="F192" s="48">
        <v>1015.3</v>
      </c>
      <c r="G192" s="48">
        <v>0</v>
      </c>
      <c r="H192" s="48">
        <v>0</v>
      </c>
      <c r="I192" s="21"/>
      <c r="J192" s="21"/>
      <c r="K192" s="21"/>
      <c r="M192" s="42"/>
      <c r="O192" s="21"/>
      <c r="P192" s="107">
        <v>1015.3</v>
      </c>
    </row>
    <row r="193" spans="1:16" s="14" customFormat="1" ht="34.5" customHeight="1">
      <c r="A193" s="53" t="s">
        <v>66</v>
      </c>
      <c r="B193" s="68" t="s">
        <v>183</v>
      </c>
      <c r="C193" s="53" t="s">
        <v>1149</v>
      </c>
      <c r="D193" s="53" t="s">
        <v>184</v>
      </c>
      <c r="E193" s="53" t="s">
        <v>9</v>
      </c>
      <c r="F193" s="48">
        <f>SUM(F194)</f>
        <v>173.1</v>
      </c>
      <c r="G193" s="48">
        <f>SUM(G194)</f>
        <v>0</v>
      </c>
      <c r="H193" s="48">
        <f>SUM(H194)</f>
        <v>0</v>
      </c>
      <c r="I193" s="21"/>
      <c r="J193" s="21"/>
      <c r="K193" s="21"/>
      <c r="M193" s="42"/>
      <c r="O193" s="21"/>
      <c r="P193" s="99"/>
    </row>
    <row r="194" spans="1:16" s="14" customFormat="1" ht="34.5" customHeight="1">
      <c r="A194" s="53" t="s">
        <v>67</v>
      </c>
      <c r="B194" s="68" t="s">
        <v>150</v>
      </c>
      <c r="C194" s="53" t="s">
        <v>1149</v>
      </c>
      <c r="D194" s="53" t="s">
        <v>151</v>
      </c>
      <c r="E194" s="53" t="s">
        <v>149</v>
      </c>
      <c r="F194" s="48">
        <v>173.1</v>
      </c>
      <c r="G194" s="48">
        <v>0</v>
      </c>
      <c r="H194" s="48">
        <v>0</v>
      </c>
      <c r="I194" s="21"/>
      <c r="J194" s="21"/>
      <c r="K194" s="21"/>
      <c r="M194" s="42"/>
      <c r="O194" s="21"/>
      <c r="P194" s="107">
        <v>173.1</v>
      </c>
    </row>
    <row r="195" spans="1:16" s="14" customFormat="1" ht="34.5" customHeight="1">
      <c r="A195" s="53" t="s">
        <v>776</v>
      </c>
      <c r="B195" s="52" t="s">
        <v>162</v>
      </c>
      <c r="C195" s="53" t="s">
        <v>1149</v>
      </c>
      <c r="D195" s="53" t="s">
        <v>31</v>
      </c>
      <c r="E195" s="53" t="s">
        <v>9</v>
      </c>
      <c r="F195" s="48">
        <f>SUM(F196)</f>
        <v>886.7</v>
      </c>
      <c r="G195" s="48">
        <f>SUM(G196)</f>
        <v>0</v>
      </c>
      <c r="H195" s="48">
        <f>SUM(H196)</f>
        <v>0</v>
      </c>
      <c r="I195" s="21"/>
      <c r="J195" s="21"/>
      <c r="K195" s="21"/>
      <c r="M195" s="42"/>
      <c r="O195" s="21"/>
      <c r="P195" s="99"/>
    </row>
    <row r="196" spans="1:16" s="14" customFormat="1" ht="34.5" customHeight="1">
      <c r="A196" s="53" t="s">
        <v>888</v>
      </c>
      <c r="B196" s="52" t="s">
        <v>33</v>
      </c>
      <c r="C196" s="53" t="s">
        <v>1149</v>
      </c>
      <c r="D196" s="53" t="s">
        <v>32</v>
      </c>
      <c r="E196" s="53" t="s">
        <v>149</v>
      </c>
      <c r="F196" s="48">
        <v>886.7</v>
      </c>
      <c r="G196" s="48">
        <v>0</v>
      </c>
      <c r="H196" s="48">
        <v>0</v>
      </c>
      <c r="I196" s="21"/>
      <c r="J196" s="21"/>
      <c r="K196" s="21"/>
      <c r="M196" s="42"/>
      <c r="O196" s="21"/>
      <c r="P196" s="107">
        <v>886.7</v>
      </c>
    </row>
    <row r="197" spans="1:16" s="14" customFormat="1" ht="59.25" customHeight="1">
      <c r="A197" s="53" t="s">
        <v>889</v>
      </c>
      <c r="B197" s="68" t="s">
        <v>643</v>
      </c>
      <c r="C197" s="53" t="s">
        <v>448</v>
      </c>
      <c r="D197" s="53"/>
      <c r="E197" s="53"/>
      <c r="F197" s="48">
        <f>SUM(F198+F200)</f>
        <v>523.2</v>
      </c>
      <c r="G197" s="48">
        <f>SUM(G198+G200)</f>
        <v>523.2</v>
      </c>
      <c r="H197" s="48">
        <f>SUM(H198+H200)</f>
        <v>523.2</v>
      </c>
      <c r="I197" s="21"/>
      <c r="J197" s="21"/>
      <c r="K197" s="21"/>
      <c r="O197" s="21"/>
      <c r="P197" s="108"/>
    </row>
    <row r="198" spans="1:16" s="14" customFormat="1" ht="39" customHeight="1">
      <c r="A198" s="53" t="s">
        <v>777</v>
      </c>
      <c r="B198" s="52" t="s">
        <v>16</v>
      </c>
      <c r="C198" s="53" t="s">
        <v>448</v>
      </c>
      <c r="D198" s="53" t="s">
        <v>11</v>
      </c>
      <c r="E198" s="53" t="s">
        <v>163</v>
      </c>
      <c r="F198" s="48">
        <f>SUM(F199)</f>
        <v>417</v>
      </c>
      <c r="G198" s="48">
        <f>SUM(G199)</f>
        <v>417</v>
      </c>
      <c r="H198" s="48">
        <f>SUM(H199)</f>
        <v>417</v>
      </c>
      <c r="I198" s="21"/>
      <c r="J198" s="21"/>
      <c r="K198" s="21"/>
      <c r="O198" s="21"/>
      <c r="P198" s="108"/>
    </row>
    <row r="199" spans="1:16" s="14" customFormat="1" ht="36" customHeight="1">
      <c r="A199" s="53" t="s">
        <v>778</v>
      </c>
      <c r="B199" s="52" t="s">
        <v>17</v>
      </c>
      <c r="C199" s="53" t="s">
        <v>448</v>
      </c>
      <c r="D199" s="53" t="s">
        <v>7</v>
      </c>
      <c r="E199" s="53" t="s">
        <v>178</v>
      </c>
      <c r="F199" s="48">
        <v>417</v>
      </c>
      <c r="G199" s="48">
        <v>417</v>
      </c>
      <c r="H199" s="48">
        <v>417</v>
      </c>
      <c r="I199" s="21"/>
      <c r="J199" s="21"/>
      <c r="K199" s="21">
        <v>320</v>
      </c>
      <c r="O199" s="20"/>
      <c r="P199" s="108"/>
    </row>
    <row r="200" spans="1:16" s="14" customFormat="1" ht="21" customHeight="1">
      <c r="A200" s="53" t="s">
        <v>779</v>
      </c>
      <c r="B200" s="52" t="s">
        <v>183</v>
      </c>
      <c r="C200" s="53" t="s">
        <v>448</v>
      </c>
      <c r="D200" s="53" t="s">
        <v>184</v>
      </c>
      <c r="E200" s="53" t="s">
        <v>163</v>
      </c>
      <c r="F200" s="48">
        <f>SUM(F201)</f>
        <v>106.2</v>
      </c>
      <c r="G200" s="48">
        <f>SUM(G201)</f>
        <v>106.2</v>
      </c>
      <c r="H200" s="48">
        <f>SUM(H201)</f>
        <v>106.2</v>
      </c>
      <c r="I200" s="21"/>
      <c r="J200" s="21"/>
      <c r="K200" s="21"/>
      <c r="O200" s="21"/>
      <c r="P200" s="108"/>
    </row>
    <row r="201" spans="1:16" s="14" customFormat="1" ht="33.75" customHeight="1">
      <c r="A201" s="53" t="s">
        <v>331</v>
      </c>
      <c r="B201" s="52" t="s">
        <v>150</v>
      </c>
      <c r="C201" s="53" t="s">
        <v>448</v>
      </c>
      <c r="D201" s="53" t="s">
        <v>151</v>
      </c>
      <c r="E201" s="53" t="s">
        <v>178</v>
      </c>
      <c r="F201" s="48">
        <v>106.2</v>
      </c>
      <c r="G201" s="48">
        <v>106.2</v>
      </c>
      <c r="H201" s="48">
        <v>106.2</v>
      </c>
      <c r="I201" s="21"/>
      <c r="J201" s="21"/>
      <c r="K201" s="21">
        <v>22.5</v>
      </c>
      <c r="O201" s="20"/>
      <c r="P201" s="108"/>
    </row>
    <row r="202" spans="1:16" s="14" customFormat="1" ht="99" customHeight="1">
      <c r="A202" s="53" t="s">
        <v>699</v>
      </c>
      <c r="B202" s="52" t="s">
        <v>1138</v>
      </c>
      <c r="C202" s="53" t="s">
        <v>1004</v>
      </c>
      <c r="D202" s="53"/>
      <c r="E202" s="53"/>
      <c r="F202" s="48">
        <f>F203</f>
        <v>12193.7</v>
      </c>
      <c r="G202" s="48">
        <f>G203</f>
        <v>0</v>
      </c>
      <c r="H202" s="48">
        <f>H203</f>
        <v>0</v>
      </c>
      <c r="I202" s="21"/>
      <c r="J202" s="21"/>
      <c r="K202" s="21"/>
      <c r="O202" s="20"/>
      <c r="P202" s="108"/>
    </row>
    <row r="203" spans="1:16" s="14" customFormat="1" ht="33.75" customHeight="1">
      <c r="A203" s="53" t="s">
        <v>700</v>
      </c>
      <c r="B203" s="52" t="s">
        <v>16</v>
      </c>
      <c r="C203" s="53" t="s">
        <v>1004</v>
      </c>
      <c r="D203" s="53" t="s">
        <v>11</v>
      </c>
      <c r="E203" s="53" t="s">
        <v>163</v>
      </c>
      <c r="F203" s="48">
        <f>SUM(F204)</f>
        <v>12193.7</v>
      </c>
      <c r="G203" s="48">
        <f>SUM(G204)</f>
        <v>0</v>
      </c>
      <c r="H203" s="48">
        <f>SUM(H204)</f>
        <v>0</v>
      </c>
      <c r="I203" s="21"/>
      <c r="J203" s="21"/>
      <c r="K203" s="21"/>
      <c r="O203" s="20"/>
      <c r="P203" s="108"/>
    </row>
    <row r="204" spans="1:16" s="14" customFormat="1" ht="33.75" customHeight="1">
      <c r="A204" s="53" t="s">
        <v>701</v>
      </c>
      <c r="B204" s="52" t="s">
        <v>17</v>
      </c>
      <c r="C204" s="53" t="s">
        <v>1004</v>
      </c>
      <c r="D204" s="53" t="s">
        <v>7</v>
      </c>
      <c r="E204" s="53" t="s">
        <v>172</v>
      </c>
      <c r="F204" s="48">
        <v>12193.7</v>
      </c>
      <c r="G204" s="48">
        <v>0</v>
      </c>
      <c r="H204" s="48">
        <v>0</v>
      </c>
      <c r="I204" s="21"/>
      <c r="J204" s="21"/>
      <c r="K204" s="21"/>
      <c r="O204" s="20"/>
      <c r="P204" s="107">
        <v>12193.7</v>
      </c>
    </row>
    <row r="205" spans="1:16" s="14" customFormat="1" ht="84" customHeight="1">
      <c r="A205" s="53" t="s">
        <v>702</v>
      </c>
      <c r="B205" s="52" t="s">
        <v>1005</v>
      </c>
      <c r="C205" s="53" t="s">
        <v>1004</v>
      </c>
      <c r="D205" s="53"/>
      <c r="E205" s="53"/>
      <c r="F205" s="48">
        <f>F208+F206</f>
        <v>127</v>
      </c>
      <c r="G205" s="48">
        <f>G208</f>
        <v>0</v>
      </c>
      <c r="H205" s="48">
        <f>H208</f>
        <v>0</v>
      </c>
      <c r="I205" s="21"/>
      <c r="J205" s="21"/>
      <c r="K205" s="21"/>
      <c r="O205" s="20"/>
      <c r="P205" s="108"/>
    </row>
    <row r="206" spans="1:16" s="14" customFormat="1" ht="50.25" customHeight="1">
      <c r="A206" s="53" t="s">
        <v>703</v>
      </c>
      <c r="B206" s="52" t="s">
        <v>16</v>
      </c>
      <c r="C206" s="53" t="s">
        <v>1004</v>
      </c>
      <c r="D206" s="53" t="s">
        <v>11</v>
      </c>
      <c r="E206" s="53" t="s">
        <v>163</v>
      </c>
      <c r="F206" s="48">
        <f>SUM(F207)</f>
        <v>127</v>
      </c>
      <c r="G206" s="48">
        <f>SUM(G207)</f>
        <v>0</v>
      </c>
      <c r="H206" s="48">
        <f>SUM(H207)</f>
        <v>0</v>
      </c>
      <c r="I206" s="21"/>
      <c r="J206" s="21"/>
      <c r="K206" s="21"/>
      <c r="O206" s="20"/>
      <c r="P206" s="108"/>
    </row>
    <row r="207" spans="1:16" s="14" customFormat="1" ht="48" customHeight="1">
      <c r="A207" s="53" t="s">
        <v>780</v>
      </c>
      <c r="B207" s="52" t="s">
        <v>17</v>
      </c>
      <c r="C207" s="53" t="s">
        <v>1004</v>
      </c>
      <c r="D207" s="53" t="s">
        <v>7</v>
      </c>
      <c r="E207" s="53" t="s">
        <v>172</v>
      </c>
      <c r="F207" s="48">
        <v>127</v>
      </c>
      <c r="G207" s="48">
        <v>0</v>
      </c>
      <c r="H207" s="48">
        <v>0</v>
      </c>
      <c r="I207" s="21"/>
      <c r="J207" s="21"/>
      <c r="K207" s="21"/>
      <c r="O207" s="20"/>
      <c r="P207" s="107">
        <v>127</v>
      </c>
    </row>
    <row r="208" spans="1:16" s="14" customFormat="1" ht="33.75" customHeight="1">
      <c r="A208" s="53" t="s">
        <v>11</v>
      </c>
      <c r="B208" s="52" t="s">
        <v>162</v>
      </c>
      <c r="C208" s="53" t="s">
        <v>1004</v>
      </c>
      <c r="D208" s="53" t="s">
        <v>31</v>
      </c>
      <c r="E208" s="53" t="s">
        <v>163</v>
      </c>
      <c r="F208" s="48">
        <f>SUM(F209)</f>
        <v>0</v>
      </c>
      <c r="G208" s="48">
        <f>SUM(G209)</f>
        <v>0</v>
      </c>
      <c r="H208" s="48">
        <f>SUM(H209)</f>
        <v>0</v>
      </c>
      <c r="I208" s="21"/>
      <c r="J208" s="21"/>
      <c r="K208" s="21"/>
      <c r="O208" s="20"/>
      <c r="P208" s="99"/>
    </row>
    <row r="209" spans="1:16" s="14" customFormat="1" ht="33.75" customHeight="1">
      <c r="A209" s="53" t="s">
        <v>781</v>
      </c>
      <c r="B209" s="52" t="s">
        <v>33</v>
      </c>
      <c r="C209" s="53" t="s">
        <v>1004</v>
      </c>
      <c r="D209" s="53" t="s">
        <v>32</v>
      </c>
      <c r="E209" s="53" t="s">
        <v>172</v>
      </c>
      <c r="F209" s="48">
        <f>400-400</f>
        <v>0</v>
      </c>
      <c r="G209" s="48">
        <v>0</v>
      </c>
      <c r="H209" s="48">
        <v>0</v>
      </c>
      <c r="I209" s="21"/>
      <c r="J209" s="21"/>
      <c r="K209" s="21"/>
      <c r="O209" s="20"/>
      <c r="P209" s="107">
        <v>-400</v>
      </c>
    </row>
    <row r="210" spans="1:16" s="14" customFormat="1" ht="78.75" customHeight="1">
      <c r="A210" s="53" t="s">
        <v>782</v>
      </c>
      <c r="B210" s="95" t="s">
        <v>1140</v>
      </c>
      <c r="C210" s="6" t="s">
        <v>1139</v>
      </c>
      <c r="D210" s="53"/>
      <c r="E210" s="53"/>
      <c r="F210" s="48">
        <f>F211+F213</f>
        <v>12069.5</v>
      </c>
      <c r="G210" s="48">
        <f>G211+G213</f>
        <v>0</v>
      </c>
      <c r="H210" s="48">
        <f>H211+H213</f>
        <v>0</v>
      </c>
      <c r="I210" s="21"/>
      <c r="J210" s="21"/>
      <c r="K210" s="21"/>
      <c r="O210" s="20"/>
      <c r="P210" s="99"/>
    </row>
    <row r="211" spans="1:16" s="14" customFormat="1" ht="64.5" customHeight="1">
      <c r="A211" s="53" t="s">
        <v>783</v>
      </c>
      <c r="B211" s="96" t="s">
        <v>46</v>
      </c>
      <c r="C211" s="6" t="s">
        <v>1139</v>
      </c>
      <c r="D211" s="53" t="s">
        <v>44</v>
      </c>
      <c r="E211" s="53" t="s">
        <v>163</v>
      </c>
      <c r="F211" s="48">
        <f>SUM(F212)</f>
        <v>7030.8</v>
      </c>
      <c r="G211" s="48">
        <f>SUM(G212)</f>
        <v>0</v>
      </c>
      <c r="H211" s="48">
        <f>SUM(H212)</f>
        <v>0</v>
      </c>
      <c r="I211" s="21"/>
      <c r="J211" s="21"/>
      <c r="K211" s="21"/>
      <c r="O211" s="20"/>
      <c r="P211" s="99"/>
    </row>
    <row r="212" spans="1:16" s="14" customFormat="1" ht="33.75" customHeight="1">
      <c r="A212" s="53" t="s">
        <v>784</v>
      </c>
      <c r="B212" s="96" t="s">
        <v>47</v>
      </c>
      <c r="C212" s="6" t="s">
        <v>1139</v>
      </c>
      <c r="D212" s="53" t="s">
        <v>128</v>
      </c>
      <c r="E212" s="53" t="s">
        <v>172</v>
      </c>
      <c r="F212" s="48">
        <v>7030.8</v>
      </c>
      <c r="G212" s="48">
        <v>0</v>
      </c>
      <c r="H212" s="48">
        <v>0</v>
      </c>
      <c r="I212" s="21"/>
      <c r="J212" s="21"/>
      <c r="K212" s="21"/>
      <c r="O212" s="20"/>
      <c r="P212" s="107">
        <v>7030.8</v>
      </c>
    </row>
    <row r="213" spans="1:16" s="14" customFormat="1" ht="33.75" customHeight="1">
      <c r="A213" s="53" t="s">
        <v>68</v>
      </c>
      <c r="B213" s="95" t="s">
        <v>162</v>
      </c>
      <c r="C213" s="6" t="s">
        <v>1139</v>
      </c>
      <c r="D213" s="53" t="s">
        <v>31</v>
      </c>
      <c r="E213" s="53" t="s">
        <v>163</v>
      </c>
      <c r="F213" s="48">
        <f>SUM(F214)</f>
        <v>5038.7</v>
      </c>
      <c r="G213" s="48">
        <f>SUM(G214)</f>
        <v>0</v>
      </c>
      <c r="H213" s="48">
        <f>SUM(H214)</f>
        <v>0</v>
      </c>
      <c r="I213" s="21"/>
      <c r="J213" s="21"/>
      <c r="K213" s="21"/>
      <c r="O213" s="20"/>
      <c r="P213" s="99"/>
    </row>
    <row r="214" spans="1:16" s="14" customFormat="1" ht="33.75" customHeight="1">
      <c r="A214" s="53" t="s">
        <v>69</v>
      </c>
      <c r="B214" s="95" t="s">
        <v>33</v>
      </c>
      <c r="C214" s="6" t="s">
        <v>1139</v>
      </c>
      <c r="D214" s="53" t="s">
        <v>32</v>
      </c>
      <c r="E214" s="53" t="s">
        <v>172</v>
      </c>
      <c r="F214" s="48">
        <v>5038.7</v>
      </c>
      <c r="G214" s="48">
        <v>0</v>
      </c>
      <c r="H214" s="48">
        <v>0</v>
      </c>
      <c r="I214" s="21"/>
      <c r="J214" s="21"/>
      <c r="K214" s="21"/>
      <c r="O214" s="20"/>
      <c r="P214" s="107">
        <v>5038.7</v>
      </c>
    </row>
    <row r="215" spans="1:16" s="14" customFormat="1" ht="123" customHeight="1">
      <c r="A215" s="53" t="s">
        <v>70</v>
      </c>
      <c r="B215" s="52" t="s">
        <v>568</v>
      </c>
      <c r="C215" s="53" t="s">
        <v>572</v>
      </c>
      <c r="D215" s="53"/>
      <c r="E215" s="53"/>
      <c r="F215" s="55">
        <f>F216+F218</f>
        <v>4225.6</v>
      </c>
      <c r="G215" s="55">
        <f>G216+G218</f>
        <v>4295.4</v>
      </c>
      <c r="H215" s="55">
        <f>H216+H218</f>
        <v>1319.5</v>
      </c>
      <c r="I215" s="21"/>
      <c r="J215" s="21"/>
      <c r="K215" s="21"/>
      <c r="O215" s="21"/>
      <c r="P215" s="108"/>
    </row>
    <row r="216" spans="1:16" s="14" customFormat="1" ht="32.25" customHeight="1">
      <c r="A216" s="53" t="s">
        <v>71</v>
      </c>
      <c r="B216" s="52" t="s">
        <v>16</v>
      </c>
      <c r="C216" s="53" t="s">
        <v>572</v>
      </c>
      <c r="D216" s="53" t="s">
        <v>11</v>
      </c>
      <c r="E216" s="53" t="s">
        <v>9</v>
      </c>
      <c r="F216" s="55">
        <f>F217</f>
        <v>1731.3000000000002</v>
      </c>
      <c r="G216" s="55">
        <f>G217</f>
        <v>1687.4</v>
      </c>
      <c r="H216" s="55">
        <f>H217</f>
        <v>1319.5</v>
      </c>
      <c r="I216" s="21"/>
      <c r="J216" s="21"/>
      <c r="K216" s="21"/>
      <c r="O216" s="21"/>
      <c r="P216" s="108"/>
    </row>
    <row r="217" spans="1:16" s="14" customFormat="1" ht="33" customHeight="1">
      <c r="A217" s="53" t="s">
        <v>72</v>
      </c>
      <c r="B217" s="52" t="s">
        <v>17</v>
      </c>
      <c r="C217" s="53" t="s">
        <v>572</v>
      </c>
      <c r="D217" s="53" t="s">
        <v>7</v>
      </c>
      <c r="E217" s="53" t="s">
        <v>149</v>
      </c>
      <c r="F217" s="55">
        <f>1744.9-13.6</f>
        <v>1731.3000000000002</v>
      </c>
      <c r="G217" s="55">
        <v>1687.4</v>
      </c>
      <c r="H217" s="55">
        <v>1319.5</v>
      </c>
      <c r="I217" s="21"/>
      <c r="J217" s="21"/>
      <c r="K217" s="21"/>
      <c r="O217" s="21"/>
      <c r="P217" s="107">
        <v>-13.6</v>
      </c>
    </row>
    <row r="218" spans="1:16" s="14" customFormat="1" ht="31.5" customHeight="1">
      <c r="A218" s="53" t="s">
        <v>332</v>
      </c>
      <c r="B218" s="52" t="s">
        <v>162</v>
      </c>
      <c r="C218" s="53" t="s">
        <v>572</v>
      </c>
      <c r="D218" s="53" t="s">
        <v>31</v>
      </c>
      <c r="E218" s="53" t="s">
        <v>9</v>
      </c>
      <c r="F218" s="55">
        <f>F219</f>
        <v>2494.3</v>
      </c>
      <c r="G218" s="55">
        <f>G219</f>
        <v>2608</v>
      </c>
      <c r="H218" s="55">
        <f>H219</f>
        <v>0</v>
      </c>
      <c r="I218" s="21"/>
      <c r="J218" s="21"/>
      <c r="K218" s="21"/>
      <c r="O218" s="21"/>
      <c r="P218" s="108"/>
    </row>
    <row r="219" spans="1:16" s="14" customFormat="1" ht="20.25" customHeight="1">
      <c r="A219" s="53" t="s">
        <v>1012</v>
      </c>
      <c r="B219" s="52" t="s">
        <v>33</v>
      </c>
      <c r="C219" s="53" t="s">
        <v>572</v>
      </c>
      <c r="D219" s="53" t="s">
        <v>32</v>
      </c>
      <c r="E219" s="53" t="s">
        <v>149</v>
      </c>
      <c r="F219" s="55">
        <v>2494.3</v>
      </c>
      <c r="G219" s="55">
        <v>2608</v>
      </c>
      <c r="H219" s="55">
        <v>0</v>
      </c>
      <c r="I219" s="21"/>
      <c r="J219" s="21"/>
      <c r="K219" s="21"/>
      <c r="O219" s="21"/>
      <c r="P219" s="108"/>
    </row>
    <row r="220" spans="1:16" s="14" customFormat="1" ht="120" customHeight="1">
      <c r="A220" s="53" t="s">
        <v>1013</v>
      </c>
      <c r="B220" s="52" t="s">
        <v>1141</v>
      </c>
      <c r="C220" s="78" t="s">
        <v>1034</v>
      </c>
      <c r="D220" s="53"/>
      <c r="E220" s="53"/>
      <c r="F220" s="48">
        <f>F221</f>
        <v>2195.4</v>
      </c>
      <c r="G220" s="48">
        <f>G221</f>
        <v>0</v>
      </c>
      <c r="H220" s="48">
        <f>H221</f>
        <v>0</v>
      </c>
      <c r="I220" s="21"/>
      <c r="J220" s="21"/>
      <c r="K220" s="21"/>
      <c r="O220" s="21"/>
      <c r="P220" s="108"/>
    </row>
    <row r="221" spans="1:16" s="14" customFormat="1" ht="49.5" customHeight="1">
      <c r="A221" s="53" t="s">
        <v>1014</v>
      </c>
      <c r="B221" s="52" t="s">
        <v>16</v>
      </c>
      <c r="C221" s="78" t="s">
        <v>1034</v>
      </c>
      <c r="D221" s="53" t="s">
        <v>11</v>
      </c>
      <c r="E221" s="53" t="s">
        <v>163</v>
      </c>
      <c r="F221" s="48">
        <f>SUM(F222)</f>
        <v>2195.4</v>
      </c>
      <c r="G221" s="48">
        <f>SUM(G222)</f>
        <v>0</v>
      </c>
      <c r="H221" s="48">
        <f>SUM(H222)</f>
        <v>0</v>
      </c>
      <c r="I221" s="21"/>
      <c r="J221" s="21"/>
      <c r="K221" s="21"/>
      <c r="O221" s="21"/>
      <c r="P221" s="108"/>
    </row>
    <row r="222" spans="1:16" s="14" customFormat="1" ht="37.5" customHeight="1">
      <c r="A222" s="53" t="s">
        <v>890</v>
      </c>
      <c r="B222" s="52" t="s">
        <v>17</v>
      </c>
      <c r="C222" s="78" t="s">
        <v>1034</v>
      </c>
      <c r="D222" s="53" t="s">
        <v>7</v>
      </c>
      <c r="E222" s="53" t="s">
        <v>172</v>
      </c>
      <c r="F222" s="48">
        <v>2195.4</v>
      </c>
      <c r="G222" s="48">
        <v>0</v>
      </c>
      <c r="H222" s="48">
        <v>0</v>
      </c>
      <c r="I222" s="21"/>
      <c r="J222" s="21"/>
      <c r="K222" s="21"/>
      <c r="O222" s="21"/>
      <c r="P222" s="107">
        <v>2195.4</v>
      </c>
    </row>
    <row r="223" spans="1:16" s="14" customFormat="1" ht="110.25" customHeight="1">
      <c r="A223" s="53" t="s">
        <v>891</v>
      </c>
      <c r="B223" s="52" t="s">
        <v>1030</v>
      </c>
      <c r="C223" s="78" t="s">
        <v>1034</v>
      </c>
      <c r="D223" s="53"/>
      <c r="E223" s="53"/>
      <c r="F223" s="48">
        <f>F224</f>
        <v>22.2</v>
      </c>
      <c r="G223" s="48">
        <f>G224</f>
        <v>0</v>
      </c>
      <c r="H223" s="48">
        <f>H224</f>
        <v>0</v>
      </c>
      <c r="I223" s="21"/>
      <c r="J223" s="21"/>
      <c r="K223" s="21"/>
      <c r="O223" s="21"/>
      <c r="P223" s="108"/>
    </row>
    <row r="224" spans="1:16" s="14" customFormat="1" ht="40.5" customHeight="1">
      <c r="A224" s="53" t="s">
        <v>892</v>
      </c>
      <c r="B224" s="52" t="s">
        <v>16</v>
      </c>
      <c r="C224" s="78" t="s">
        <v>1034</v>
      </c>
      <c r="D224" s="53" t="s">
        <v>11</v>
      </c>
      <c r="E224" s="53" t="s">
        <v>163</v>
      </c>
      <c r="F224" s="48">
        <f>SUM(F225)</f>
        <v>22.2</v>
      </c>
      <c r="G224" s="48">
        <f>SUM(G225)</f>
        <v>0</v>
      </c>
      <c r="H224" s="48">
        <f>SUM(H225)</f>
        <v>0</v>
      </c>
      <c r="I224" s="21"/>
      <c r="J224" s="21"/>
      <c r="K224" s="21"/>
      <c r="O224" s="21"/>
      <c r="P224" s="108"/>
    </row>
    <row r="225" spans="1:16" s="14" customFormat="1" ht="39" customHeight="1">
      <c r="A225" s="53" t="s">
        <v>893</v>
      </c>
      <c r="B225" s="52" t="s">
        <v>17</v>
      </c>
      <c r="C225" s="78" t="s">
        <v>1034</v>
      </c>
      <c r="D225" s="53" t="s">
        <v>7</v>
      </c>
      <c r="E225" s="53" t="s">
        <v>172</v>
      </c>
      <c r="F225" s="48">
        <v>22.2</v>
      </c>
      <c r="G225" s="48">
        <v>0</v>
      </c>
      <c r="H225" s="48">
        <v>0</v>
      </c>
      <c r="I225" s="21"/>
      <c r="J225" s="21"/>
      <c r="K225" s="21"/>
      <c r="O225" s="21"/>
      <c r="P225" s="108"/>
    </row>
    <row r="226" spans="1:16" s="14" customFormat="1" ht="96" customHeight="1">
      <c r="A226" s="53" t="s">
        <v>333</v>
      </c>
      <c r="B226" s="77" t="s">
        <v>1142</v>
      </c>
      <c r="C226" s="53" t="s">
        <v>1143</v>
      </c>
      <c r="D226" s="53"/>
      <c r="E226" s="53"/>
      <c r="F226" s="48">
        <f>F227+F229</f>
        <v>763.7</v>
      </c>
      <c r="G226" s="48">
        <f>G227+G229</f>
        <v>0</v>
      </c>
      <c r="H226" s="48">
        <f>H227+H229</f>
        <v>0</v>
      </c>
      <c r="I226" s="21"/>
      <c r="J226" s="21"/>
      <c r="K226" s="21"/>
      <c r="O226" s="21"/>
      <c r="P226" s="108"/>
    </row>
    <row r="227" spans="1:16" s="14" customFormat="1" ht="58.5" customHeight="1">
      <c r="A227" s="53" t="s">
        <v>334</v>
      </c>
      <c r="B227" s="68" t="s">
        <v>46</v>
      </c>
      <c r="C227" s="53" t="s">
        <v>1143</v>
      </c>
      <c r="D227" s="53" t="s">
        <v>44</v>
      </c>
      <c r="E227" s="53" t="s">
        <v>163</v>
      </c>
      <c r="F227" s="55">
        <f aca="true" t="shared" si="12" ref="F227:H229">F228</f>
        <v>381.8</v>
      </c>
      <c r="G227" s="55">
        <f t="shared" si="12"/>
        <v>0</v>
      </c>
      <c r="H227" s="55">
        <f t="shared" si="12"/>
        <v>0</v>
      </c>
      <c r="I227" s="21"/>
      <c r="J227" s="21"/>
      <c r="K227" s="21"/>
      <c r="O227" s="21"/>
      <c r="P227" s="108"/>
    </row>
    <row r="228" spans="1:16" s="14" customFormat="1" ht="39" customHeight="1">
      <c r="A228" s="53" t="s">
        <v>73</v>
      </c>
      <c r="B228" s="68" t="s">
        <v>47</v>
      </c>
      <c r="C228" s="53" t="s">
        <v>1143</v>
      </c>
      <c r="D228" s="53" t="s">
        <v>128</v>
      </c>
      <c r="E228" s="53" t="s">
        <v>172</v>
      </c>
      <c r="F228" s="48">
        <v>381.8</v>
      </c>
      <c r="G228" s="48">
        <v>0</v>
      </c>
      <c r="H228" s="48">
        <v>0</v>
      </c>
      <c r="I228" s="21"/>
      <c r="J228" s="21"/>
      <c r="K228" s="21"/>
      <c r="O228" s="21"/>
      <c r="P228" s="107">
        <v>381.8</v>
      </c>
    </row>
    <row r="229" spans="1:16" s="14" customFormat="1" ht="39" customHeight="1">
      <c r="A229" s="53" t="s">
        <v>74</v>
      </c>
      <c r="B229" s="52" t="s">
        <v>162</v>
      </c>
      <c r="C229" s="53" t="s">
        <v>1143</v>
      </c>
      <c r="D229" s="53" t="s">
        <v>31</v>
      </c>
      <c r="E229" s="53" t="s">
        <v>163</v>
      </c>
      <c r="F229" s="55">
        <f t="shared" si="12"/>
        <v>381.9</v>
      </c>
      <c r="G229" s="55">
        <f t="shared" si="12"/>
        <v>0</v>
      </c>
      <c r="H229" s="55">
        <f t="shared" si="12"/>
        <v>0</v>
      </c>
      <c r="I229" s="21"/>
      <c r="J229" s="21"/>
      <c r="K229" s="21"/>
      <c r="O229" s="21"/>
      <c r="P229" s="108"/>
    </row>
    <row r="230" spans="1:16" s="14" customFormat="1" ht="39" customHeight="1">
      <c r="A230" s="53" t="s">
        <v>75</v>
      </c>
      <c r="B230" s="52" t="s">
        <v>33</v>
      </c>
      <c r="C230" s="53" t="s">
        <v>1143</v>
      </c>
      <c r="D230" s="53" t="s">
        <v>32</v>
      </c>
      <c r="E230" s="53" t="s">
        <v>172</v>
      </c>
      <c r="F230" s="48">
        <v>381.9</v>
      </c>
      <c r="G230" s="48">
        <v>0</v>
      </c>
      <c r="H230" s="48">
        <v>0</v>
      </c>
      <c r="I230" s="21"/>
      <c r="J230" s="21"/>
      <c r="K230" s="21"/>
      <c r="O230" s="21"/>
      <c r="P230" s="107">
        <v>381.9</v>
      </c>
    </row>
    <row r="231" spans="1:16" s="15" customFormat="1" ht="26.25" customHeight="1">
      <c r="A231" s="53" t="s">
        <v>76</v>
      </c>
      <c r="B231" s="71" t="s">
        <v>127</v>
      </c>
      <c r="C231" s="65" t="s">
        <v>193</v>
      </c>
      <c r="D231" s="65"/>
      <c r="E231" s="65"/>
      <c r="F231" s="56">
        <f>F232+F235+F238</f>
        <v>210</v>
      </c>
      <c r="G231" s="56">
        <f>G232+G235+G238</f>
        <v>210</v>
      </c>
      <c r="H231" s="56">
        <f>H232+H235+H238</f>
        <v>210</v>
      </c>
      <c r="I231" s="18"/>
      <c r="J231" s="18"/>
      <c r="K231" s="18"/>
      <c r="O231" s="18"/>
      <c r="P231" s="101"/>
    </row>
    <row r="232" spans="1:16" s="15" customFormat="1" ht="118.5" customHeight="1">
      <c r="A232" s="53" t="s">
        <v>77</v>
      </c>
      <c r="B232" s="52" t="s">
        <v>404</v>
      </c>
      <c r="C232" s="53" t="s">
        <v>587</v>
      </c>
      <c r="D232" s="53"/>
      <c r="E232" s="53"/>
      <c r="F232" s="55">
        <f aca="true" t="shared" si="13" ref="F232:H233">F233</f>
        <v>45</v>
      </c>
      <c r="G232" s="55">
        <f t="shared" si="13"/>
        <v>45</v>
      </c>
      <c r="H232" s="55">
        <f t="shared" si="13"/>
        <v>45</v>
      </c>
      <c r="I232" s="18"/>
      <c r="J232" s="18"/>
      <c r="K232" s="18"/>
      <c r="O232" s="18"/>
      <c r="P232" s="101"/>
    </row>
    <row r="233" spans="1:16" s="14" customFormat="1" ht="55.5" customHeight="1">
      <c r="A233" s="53" t="s">
        <v>78</v>
      </c>
      <c r="B233" s="68" t="s">
        <v>46</v>
      </c>
      <c r="C233" s="53" t="s">
        <v>587</v>
      </c>
      <c r="D233" s="53" t="s">
        <v>44</v>
      </c>
      <c r="E233" s="53" t="s">
        <v>163</v>
      </c>
      <c r="F233" s="55">
        <f t="shared" si="13"/>
        <v>45</v>
      </c>
      <c r="G233" s="55">
        <f t="shared" si="13"/>
        <v>45</v>
      </c>
      <c r="H233" s="55">
        <f t="shared" si="13"/>
        <v>45</v>
      </c>
      <c r="I233" s="21"/>
      <c r="J233" s="21"/>
      <c r="K233" s="21"/>
      <c r="O233" s="21"/>
      <c r="P233" s="108"/>
    </row>
    <row r="234" spans="1:16" s="15" customFormat="1" ht="23.25" customHeight="1">
      <c r="A234" s="53" t="s">
        <v>79</v>
      </c>
      <c r="B234" s="68" t="s">
        <v>47</v>
      </c>
      <c r="C234" s="53" t="s">
        <v>587</v>
      </c>
      <c r="D234" s="53" t="s">
        <v>128</v>
      </c>
      <c r="E234" s="53" t="s">
        <v>178</v>
      </c>
      <c r="F234" s="48">
        <v>45</v>
      </c>
      <c r="G234" s="48">
        <v>45</v>
      </c>
      <c r="H234" s="48">
        <v>45</v>
      </c>
      <c r="I234" s="18"/>
      <c r="J234" s="18"/>
      <c r="K234" s="18">
        <v>-15</v>
      </c>
      <c r="O234" s="18"/>
      <c r="P234" s="101"/>
    </row>
    <row r="235" spans="1:16" s="15" customFormat="1" ht="81.75" customHeight="1">
      <c r="A235" s="53" t="s">
        <v>481</v>
      </c>
      <c r="B235" s="52" t="s">
        <v>141</v>
      </c>
      <c r="C235" s="53" t="s">
        <v>588</v>
      </c>
      <c r="D235" s="53"/>
      <c r="E235" s="53"/>
      <c r="F235" s="55">
        <f aca="true" t="shared" si="14" ref="F235:H236">F236</f>
        <v>35</v>
      </c>
      <c r="G235" s="55">
        <f t="shared" si="14"/>
        <v>35</v>
      </c>
      <c r="H235" s="55">
        <f t="shared" si="14"/>
        <v>35</v>
      </c>
      <c r="I235" s="18"/>
      <c r="J235" s="18"/>
      <c r="K235" s="18"/>
      <c r="O235" s="18"/>
      <c r="P235" s="101"/>
    </row>
    <row r="236" spans="1:16" s="15" customFormat="1" ht="33.75" customHeight="1">
      <c r="A236" s="53" t="s">
        <v>704</v>
      </c>
      <c r="B236" s="52" t="s">
        <v>16</v>
      </c>
      <c r="C236" s="53" t="s">
        <v>588</v>
      </c>
      <c r="D236" s="53" t="s">
        <v>11</v>
      </c>
      <c r="E236" s="53" t="s">
        <v>163</v>
      </c>
      <c r="F236" s="55">
        <f t="shared" si="14"/>
        <v>35</v>
      </c>
      <c r="G236" s="55">
        <f t="shared" si="14"/>
        <v>35</v>
      </c>
      <c r="H236" s="55">
        <f t="shared" si="14"/>
        <v>35</v>
      </c>
      <c r="I236" s="18"/>
      <c r="J236" s="18"/>
      <c r="K236" s="18"/>
      <c r="O236" s="18"/>
      <c r="P236" s="101"/>
    </row>
    <row r="237" spans="1:16" s="15" customFormat="1" ht="33.75" customHeight="1">
      <c r="A237" s="53" t="s">
        <v>894</v>
      </c>
      <c r="B237" s="52" t="s">
        <v>17</v>
      </c>
      <c r="C237" s="53" t="s">
        <v>588</v>
      </c>
      <c r="D237" s="53" t="s">
        <v>7</v>
      </c>
      <c r="E237" s="53" t="s">
        <v>178</v>
      </c>
      <c r="F237" s="48">
        <v>35</v>
      </c>
      <c r="G237" s="48">
        <v>35</v>
      </c>
      <c r="H237" s="48">
        <v>35</v>
      </c>
      <c r="I237" s="18"/>
      <c r="J237" s="18"/>
      <c r="K237" s="18"/>
      <c r="M237" s="15">
        <v>-10</v>
      </c>
      <c r="O237" s="18"/>
      <c r="P237" s="101"/>
    </row>
    <row r="238" spans="1:16" s="15" customFormat="1" ht="72" customHeight="1">
      <c r="A238" s="53" t="s">
        <v>895</v>
      </c>
      <c r="B238" s="52" t="s">
        <v>142</v>
      </c>
      <c r="C238" s="53" t="s">
        <v>589</v>
      </c>
      <c r="D238" s="53"/>
      <c r="E238" s="53"/>
      <c r="F238" s="55">
        <f aca="true" t="shared" si="15" ref="F238:H239">F239</f>
        <v>130</v>
      </c>
      <c r="G238" s="55">
        <f t="shared" si="15"/>
        <v>130</v>
      </c>
      <c r="H238" s="55">
        <f t="shared" si="15"/>
        <v>130</v>
      </c>
      <c r="I238" s="18"/>
      <c r="J238" s="18"/>
      <c r="K238" s="18"/>
      <c r="O238" s="18"/>
      <c r="P238" s="101"/>
    </row>
    <row r="239" spans="1:16" s="15" customFormat="1" ht="33" customHeight="1">
      <c r="A239" s="53" t="s">
        <v>896</v>
      </c>
      <c r="B239" s="52" t="s">
        <v>16</v>
      </c>
      <c r="C239" s="53" t="s">
        <v>589</v>
      </c>
      <c r="D239" s="53" t="s">
        <v>11</v>
      </c>
      <c r="E239" s="53" t="s">
        <v>163</v>
      </c>
      <c r="F239" s="55">
        <f t="shared" si="15"/>
        <v>130</v>
      </c>
      <c r="G239" s="55">
        <f t="shared" si="15"/>
        <v>130</v>
      </c>
      <c r="H239" s="55">
        <f t="shared" si="15"/>
        <v>130</v>
      </c>
      <c r="I239" s="18"/>
      <c r="J239" s="18"/>
      <c r="K239" s="18"/>
      <c r="O239" s="18"/>
      <c r="P239" s="101"/>
    </row>
    <row r="240" spans="1:16" s="15" customFormat="1" ht="33.75" customHeight="1">
      <c r="A240" s="53" t="s">
        <v>482</v>
      </c>
      <c r="B240" s="52" t="s">
        <v>17</v>
      </c>
      <c r="C240" s="53" t="s">
        <v>589</v>
      </c>
      <c r="D240" s="53" t="s">
        <v>7</v>
      </c>
      <c r="E240" s="53" t="s">
        <v>178</v>
      </c>
      <c r="F240" s="48">
        <v>130</v>
      </c>
      <c r="G240" s="48">
        <v>130</v>
      </c>
      <c r="H240" s="48">
        <v>130</v>
      </c>
      <c r="I240" s="18"/>
      <c r="J240" s="18"/>
      <c r="K240" s="18"/>
      <c r="M240" s="15">
        <v>-20</v>
      </c>
      <c r="O240" s="18"/>
      <c r="P240" s="101"/>
    </row>
    <row r="241" spans="1:16" s="15" customFormat="1" ht="45" customHeight="1">
      <c r="A241" s="53" t="s">
        <v>483</v>
      </c>
      <c r="B241" s="71" t="s">
        <v>555</v>
      </c>
      <c r="C241" s="65" t="s">
        <v>194</v>
      </c>
      <c r="D241" s="65"/>
      <c r="E241" s="65"/>
      <c r="F241" s="57">
        <f>F242+F259+F264+F254+F247</f>
        <v>17795.6</v>
      </c>
      <c r="G241" s="57">
        <f>G242+G259+G264+G254+G247</f>
        <v>15421.2</v>
      </c>
      <c r="H241" s="57">
        <f>H242+H259+H264+H254+H247</f>
        <v>14804.7</v>
      </c>
      <c r="I241" s="18"/>
      <c r="J241" s="18"/>
      <c r="K241" s="18"/>
      <c r="O241" s="18"/>
      <c r="P241" s="101"/>
    </row>
    <row r="242" spans="1:16" s="15" customFormat="1" ht="98.25" customHeight="1">
      <c r="A242" s="53" t="s">
        <v>705</v>
      </c>
      <c r="B242" s="52" t="s">
        <v>557</v>
      </c>
      <c r="C242" s="53" t="s">
        <v>195</v>
      </c>
      <c r="D242" s="53"/>
      <c r="E242" s="53"/>
      <c r="F242" s="48">
        <f>F243+F245</f>
        <v>2185</v>
      </c>
      <c r="G242" s="48">
        <f>G243+G245</f>
        <v>2035</v>
      </c>
      <c r="H242" s="48">
        <f>H243+H245</f>
        <v>2035</v>
      </c>
      <c r="I242" s="18"/>
      <c r="J242" s="18"/>
      <c r="K242" s="18"/>
      <c r="O242" s="18"/>
      <c r="P242" s="101"/>
    </row>
    <row r="243" spans="1:16" s="15" customFormat="1" ht="56.25" customHeight="1">
      <c r="A243" s="53" t="s">
        <v>706</v>
      </c>
      <c r="B243" s="68" t="s">
        <v>46</v>
      </c>
      <c r="C243" s="53" t="s">
        <v>195</v>
      </c>
      <c r="D243" s="53" t="s">
        <v>44</v>
      </c>
      <c r="E243" s="53" t="s">
        <v>163</v>
      </c>
      <c r="F243" s="48">
        <f>F244</f>
        <v>1853.7</v>
      </c>
      <c r="G243" s="48">
        <f>G244</f>
        <v>1703.7</v>
      </c>
      <c r="H243" s="48">
        <f>H244</f>
        <v>1703.7</v>
      </c>
      <c r="I243" s="18"/>
      <c r="J243" s="18"/>
      <c r="K243" s="18"/>
      <c r="O243" s="18"/>
      <c r="P243" s="101"/>
    </row>
    <row r="244" spans="1:16" s="15" customFormat="1" ht="33.75" customHeight="1">
      <c r="A244" s="53" t="s">
        <v>707</v>
      </c>
      <c r="B244" s="68" t="s">
        <v>130</v>
      </c>
      <c r="C244" s="53" t="s">
        <v>195</v>
      </c>
      <c r="D244" s="53" t="s">
        <v>45</v>
      </c>
      <c r="E244" s="53" t="s">
        <v>178</v>
      </c>
      <c r="F244" s="48">
        <f>1703.7+150</f>
        <v>1853.7</v>
      </c>
      <c r="G244" s="48">
        <v>1703.7</v>
      </c>
      <c r="H244" s="48">
        <v>1703.7</v>
      </c>
      <c r="I244" s="18"/>
      <c r="J244" s="18"/>
      <c r="K244" s="18"/>
      <c r="O244" s="18"/>
      <c r="P244" s="106">
        <v>150</v>
      </c>
    </row>
    <row r="245" spans="1:16" s="15" customFormat="1" ht="33.75" customHeight="1">
      <c r="A245" s="53" t="s">
        <v>484</v>
      </c>
      <c r="B245" s="52" t="s">
        <v>16</v>
      </c>
      <c r="C245" s="53" t="s">
        <v>195</v>
      </c>
      <c r="D245" s="53" t="s">
        <v>11</v>
      </c>
      <c r="E245" s="53" t="s">
        <v>163</v>
      </c>
      <c r="F245" s="48">
        <f>F246</f>
        <v>331.3</v>
      </c>
      <c r="G245" s="48">
        <f>G246</f>
        <v>331.3</v>
      </c>
      <c r="H245" s="48">
        <f>H246</f>
        <v>331.3</v>
      </c>
      <c r="I245" s="18"/>
      <c r="J245" s="18"/>
      <c r="K245" s="18"/>
      <c r="O245" s="18"/>
      <c r="P245" s="101"/>
    </row>
    <row r="246" spans="1:16" s="15" customFormat="1" ht="34.5" customHeight="1">
      <c r="A246" s="53" t="s">
        <v>897</v>
      </c>
      <c r="B246" s="52" t="s">
        <v>17</v>
      </c>
      <c r="C246" s="53" t="s">
        <v>195</v>
      </c>
      <c r="D246" s="53" t="s">
        <v>7</v>
      </c>
      <c r="E246" s="53" t="s">
        <v>178</v>
      </c>
      <c r="F246" s="48">
        <v>331.3</v>
      </c>
      <c r="G246" s="48">
        <v>331.3</v>
      </c>
      <c r="H246" s="48">
        <v>331.3</v>
      </c>
      <c r="I246" s="18"/>
      <c r="J246" s="18"/>
      <c r="K246" s="18"/>
      <c r="O246" s="18"/>
      <c r="P246" s="101"/>
    </row>
    <row r="247" spans="1:16" s="15" customFormat="1" ht="91.5" customHeight="1">
      <c r="A247" s="53" t="s">
        <v>898</v>
      </c>
      <c r="B247" s="79" t="s">
        <v>734</v>
      </c>
      <c r="C247" s="53" t="s">
        <v>733</v>
      </c>
      <c r="D247" s="53"/>
      <c r="E247" s="53"/>
      <c r="F247" s="55">
        <f>F252+F248+F250</f>
        <v>13253.5</v>
      </c>
      <c r="G247" s="55">
        <f>G252+G248+G250</f>
        <v>13183.6</v>
      </c>
      <c r="H247" s="55">
        <f>H252+H248+H250</f>
        <v>12567.1</v>
      </c>
      <c r="I247" s="18"/>
      <c r="J247" s="18"/>
      <c r="K247" s="18"/>
      <c r="O247" s="18"/>
      <c r="P247" s="101"/>
    </row>
    <row r="248" spans="1:16" s="15" customFormat="1" ht="61.5" customHeight="1">
      <c r="A248" s="53" t="s">
        <v>7</v>
      </c>
      <c r="B248" s="68" t="s">
        <v>46</v>
      </c>
      <c r="C248" s="53" t="s">
        <v>733</v>
      </c>
      <c r="D248" s="53" t="s">
        <v>44</v>
      </c>
      <c r="E248" s="53" t="s">
        <v>420</v>
      </c>
      <c r="F248" s="55">
        <f>F249</f>
        <v>249.2</v>
      </c>
      <c r="G248" s="55">
        <f>G249</f>
        <v>229</v>
      </c>
      <c r="H248" s="55">
        <f>H249</f>
        <v>229</v>
      </c>
      <c r="I248" s="18"/>
      <c r="J248" s="18"/>
      <c r="K248" s="18"/>
      <c r="O248" s="18"/>
      <c r="P248" s="101"/>
    </row>
    <row r="249" spans="1:16" s="15" customFormat="1" ht="33" customHeight="1">
      <c r="A249" s="53" t="s">
        <v>485</v>
      </c>
      <c r="B249" s="68" t="s">
        <v>130</v>
      </c>
      <c r="C249" s="53" t="s">
        <v>733</v>
      </c>
      <c r="D249" s="53" t="s">
        <v>45</v>
      </c>
      <c r="E249" s="53" t="s">
        <v>129</v>
      </c>
      <c r="F249" s="48">
        <f>229+20.2</f>
        <v>249.2</v>
      </c>
      <c r="G249" s="48">
        <v>229</v>
      </c>
      <c r="H249" s="48">
        <v>229</v>
      </c>
      <c r="I249" s="18"/>
      <c r="J249" s="18"/>
      <c r="K249" s="18"/>
      <c r="O249" s="18"/>
      <c r="P249" s="106">
        <v>20.2</v>
      </c>
    </row>
    <row r="250" spans="1:16" s="15" customFormat="1" ht="33" customHeight="1">
      <c r="A250" s="53" t="s">
        <v>486</v>
      </c>
      <c r="B250" s="52" t="s">
        <v>16</v>
      </c>
      <c r="C250" s="53" t="s">
        <v>733</v>
      </c>
      <c r="D250" s="53" t="s">
        <v>11</v>
      </c>
      <c r="E250" s="53" t="s">
        <v>420</v>
      </c>
      <c r="F250" s="55">
        <f aca="true" t="shared" si="16" ref="F250:H252">F251</f>
        <v>7.8</v>
      </c>
      <c r="G250" s="55">
        <f t="shared" si="16"/>
        <v>7.4</v>
      </c>
      <c r="H250" s="55">
        <f t="shared" si="16"/>
        <v>7.4</v>
      </c>
      <c r="I250" s="18"/>
      <c r="J250" s="18"/>
      <c r="K250" s="18"/>
      <c r="O250" s="18"/>
      <c r="P250" s="101"/>
    </row>
    <row r="251" spans="1:16" s="15" customFormat="1" ht="33" customHeight="1">
      <c r="A251" s="53" t="s">
        <v>487</v>
      </c>
      <c r="B251" s="52" t="s">
        <v>17</v>
      </c>
      <c r="C251" s="53" t="s">
        <v>733</v>
      </c>
      <c r="D251" s="53" t="s">
        <v>7</v>
      </c>
      <c r="E251" s="53" t="s">
        <v>129</v>
      </c>
      <c r="F251" s="48">
        <v>7.8</v>
      </c>
      <c r="G251" s="48">
        <v>7.4</v>
      </c>
      <c r="H251" s="48">
        <v>7.4</v>
      </c>
      <c r="I251" s="18"/>
      <c r="J251" s="18"/>
      <c r="K251" s="18"/>
      <c r="O251" s="18"/>
      <c r="P251" s="101"/>
    </row>
    <row r="252" spans="1:16" s="15" customFormat="1" ht="34.5" customHeight="1">
      <c r="A252" s="53" t="s">
        <v>488</v>
      </c>
      <c r="B252" s="68" t="s">
        <v>653</v>
      </c>
      <c r="C252" s="53" t="s">
        <v>733</v>
      </c>
      <c r="D252" s="53" t="s">
        <v>101</v>
      </c>
      <c r="E252" s="53" t="s">
        <v>9</v>
      </c>
      <c r="F252" s="55">
        <f t="shared" si="16"/>
        <v>12996.5</v>
      </c>
      <c r="G252" s="55">
        <f t="shared" si="16"/>
        <v>12947.2</v>
      </c>
      <c r="H252" s="55">
        <f t="shared" si="16"/>
        <v>12330.7</v>
      </c>
      <c r="I252" s="18"/>
      <c r="J252" s="18"/>
      <c r="K252" s="18"/>
      <c r="O252" s="18"/>
      <c r="P252" s="101"/>
    </row>
    <row r="253" spans="1:16" s="15" customFormat="1" ht="28.5" customHeight="1">
      <c r="A253" s="53" t="s">
        <v>489</v>
      </c>
      <c r="B253" s="68" t="s">
        <v>654</v>
      </c>
      <c r="C253" s="53" t="s">
        <v>733</v>
      </c>
      <c r="D253" s="53" t="s">
        <v>106</v>
      </c>
      <c r="E253" s="53" t="s">
        <v>149</v>
      </c>
      <c r="F253" s="48">
        <v>12996.5</v>
      </c>
      <c r="G253" s="48">
        <v>12947.2</v>
      </c>
      <c r="H253" s="48">
        <v>12330.7</v>
      </c>
      <c r="I253" s="18"/>
      <c r="J253" s="18"/>
      <c r="K253" s="18"/>
      <c r="O253" s="18"/>
      <c r="P253" s="101"/>
    </row>
    <row r="254" spans="1:16" s="15" customFormat="1" ht="147" customHeight="1">
      <c r="A254" s="53" t="s">
        <v>490</v>
      </c>
      <c r="B254" s="52" t="s">
        <v>844</v>
      </c>
      <c r="C254" s="53" t="s">
        <v>732</v>
      </c>
      <c r="D254" s="53"/>
      <c r="E254" s="53"/>
      <c r="F254" s="48">
        <f>F255+F257</f>
        <v>57.1</v>
      </c>
      <c r="G254" s="48">
        <f>G255+G257</f>
        <v>52.6</v>
      </c>
      <c r="H254" s="48">
        <f>H255+H257</f>
        <v>52.6</v>
      </c>
      <c r="I254" s="18"/>
      <c r="J254" s="18"/>
      <c r="K254" s="18"/>
      <c r="O254" s="18"/>
      <c r="P254" s="101"/>
    </row>
    <row r="255" spans="1:16" s="15" customFormat="1" ht="61.5" customHeight="1">
      <c r="A255" s="53" t="s">
        <v>491</v>
      </c>
      <c r="B255" s="68" t="s">
        <v>46</v>
      </c>
      <c r="C255" s="53" t="s">
        <v>732</v>
      </c>
      <c r="D255" s="53" t="s">
        <v>44</v>
      </c>
      <c r="E255" s="53" t="s">
        <v>420</v>
      </c>
      <c r="F255" s="48">
        <f aca="true" t="shared" si="17" ref="F255:H265">SUM(F256)</f>
        <v>55.6</v>
      </c>
      <c r="G255" s="48">
        <f t="shared" si="17"/>
        <v>51.1</v>
      </c>
      <c r="H255" s="48">
        <f t="shared" si="17"/>
        <v>51.1</v>
      </c>
      <c r="I255" s="18"/>
      <c r="J255" s="18"/>
      <c r="K255" s="18"/>
      <c r="O255" s="18"/>
      <c r="P255" s="101"/>
    </row>
    <row r="256" spans="1:16" s="15" customFormat="1" ht="34.5" customHeight="1">
      <c r="A256" s="53" t="s">
        <v>492</v>
      </c>
      <c r="B256" s="68" t="s">
        <v>130</v>
      </c>
      <c r="C256" s="53" t="s">
        <v>732</v>
      </c>
      <c r="D256" s="53" t="s">
        <v>45</v>
      </c>
      <c r="E256" s="53" t="s">
        <v>129</v>
      </c>
      <c r="F256" s="48">
        <f>51.1+4.5</f>
        <v>55.6</v>
      </c>
      <c r="G256" s="48">
        <v>51.1</v>
      </c>
      <c r="H256" s="48">
        <v>51.1</v>
      </c>
      <c r="I256" s="18"/>
      <c r="J256" s="18"/>
      <c r="K256" s="18"/>
      <c r="O256" s="18"/>
      <c r="P256" s="106">
        <v>4.5</v>
      </c>
    </row>
    <row r="257" spans="1:16" s="15" customFormat="1" ht="34.5" customHeight="1">
      <c r="A257" s="53" t="s">
        <v>493</v>
      </c>
      <c r="B257" s="52" t="s">
        <v>16</v>
      </c>
      <c r="C257" s="53" t="s">
        <v>732</v>
      </c>
      <c r="D257" s="53" t="s">
        <v>11</v>
      </c>
      <c r="E257" s="53" t="s">
        <v>420</v>
      </c>
      <c r="F257" s="48">
        <f t="shared" si="17"/>
        <v>1.5</v>
      </c>
      <c r="G257" s="48">
        <f t="shared" si="17"/>
        <v>1.5</v>
      </c>
      <c r="H257" s="48">
        <f t="shared" si="17"/>
        <v>1.5</v>
      </c>
      <c r="I257" s="18"/>
      <c r="J257" s="18"/>
      <c r="K257" s="18"/>
      <c r="O257" s="18"/>
      <c r="P257" s="101"/>
    </row>
    <row r="258" spans="1:16" s="15" customFormat="1" ht="34.5" customHeight="1">
      <c r="A258" s="53" t="s">
        <v>494</v>
      </c>
      <c r="B258" s="52" t="s">
        <v>17</v>
      </c>
      <c r="C258" s="53" t="s">
        <v>732</v>
      </c>
      <c r="D258" s="53" t="s">
        <v>7</v>
      </c>
      <c r="E258" s="53" t="s">
        <v>129</v>
      </c>
      <c r="F258" s="48">
        <v>1.5</v>
      </c>
      <c r="G258" s="48">
        <v>1.5</v>
      </c>
      <c r="H258" s="48">
        <v>1.5</v>
      </c>
      <c r="I258" s="18"/>
      <c r="J258" s="18"/>
      <c r="K258" s="18"/>
      <c r="O258" s="18"/>
      <c r="P258" s="101"/>
    </row>
    <row r="259" spans="1:16" s="15" customFormat="1" ht="83.25" customHeight="1">
      <c r="A259" s="53" t="s">
        <v>495</v>
      </c>
      <c r="B259" s="69" t="s">
        <v>556</v>
      </c>
      <c r="C259" s="53" t="s">
        <v>590</v>
      </c>
      <c r="D259" s="53"/>
      <c r="E259" s="53"/>
      <c r="F259" s="48">
        <f>SUM(F260+F262)</f>
        <v>100</v>
      </c>
      <c r="G259" s="48">
        <f t="shared" si="17"/>
        <v>150</v>
      </c>
      <c r="H259" s="48">
        <f t="shared" si="17"/>
        <v>150</v>
      </c>
      <c r="I259" s="18"/>
      <c r="J259" s="18"/>
      <c r="K259" s="18"/>
      <c r="O259" s="18"/>
      <c r="P259" s="101"/>
    </row>
    <row r="260" spans="1:16" s="15" customFormat="1" ht="34.5" customHeight="1">
      <c r="A260" s="53" t="s">
        <v>899</v>
      </c>
      <c r="B260" s="52" t="s">
        <v>16</v>
      </c>
      <c r="C260" s="53" t="s">
        <v>590</v>
      </c>
      <c r="D260" s="53" t="s">
        <v>11</v>
      </c>
      <c r="E260" s="53" t="s">
        <v>163</v>
      </c>
      <c r="F260" s="48">
        <f t="shared" si="17"/>
        <v>97</v>
      </c>
      <c r="G260" s="48">
        <f t="shared" si="17"/>
        <v>150</v>
      </c>
      <c r="H260" s="48">
        <f t="shared" si="17"/>
        <v>150</v>
      </c>
      <c r="I260" s="18"/>
      <c r="J260" s="18"/>
      <c r="K260" s="18"/>
      <c r="O260" s="18"/>
      <c r="P260" s="101"/>
    </row>
    <row r="261" spans="1:16" s="15" customFormat="1" ht="33" customHeight="1">
      <c r="A261" s="53" t="s">
        <v>900</v>
      </c>
      <c r="B261" s="52" t="s">
        <v>17</v>
      </c>
      <c r="C261" s="53" t="s">
        <v>590</v>
      </c>
      <c r="D261" s="53" t="s">
        <v>7</v>
      </c>
      <c r="E261" s="53" t="s">
        <v>178</v>
      </c>
      <c r="F261" s="48">
        <f>150-53</f>
        <v>97</v>
      </c>
      <c r="G261" s="48">
        <v>150</v>
      </c>
      <c r="H261" s="48">
        <v>150</v>
      </c>
      <c r="I261" s="18"/>
      <c r="J261" s="18"/>
      <c r="K261" s="18">
        <v>-70</v>
      </c>
      <c r="M261" s="15">
        <v>-100</v>
      </c>
      <c r="O261" s="18"/>
      <c r="P261" s="101"/>
    </row>
    <row r="262" spans="1:16" s="15" customFormat="1" ht="33" customHeight="1">
      <c r="A262" s="53" t="s">
        <v>901</v>
      </c>
      <c r="B262" s="52" t="s">
        <v>162</v>
      </c>
      <c r="C262" s="53" t="s">
        <v>590</v>
      </c>
      <c r="D262" s="53" t="s">
        <v>31</v>
      </c>
      <c r="E262" s="53" t="s">
        <v>163</v>
      </c>
      <c r="F262" s="48">
        <f t="shared" si="17"/>
        <v>3</v>
      </c>
      <c r="G262" s="48">
        <f t="shared" si="17"/>
        <v>0</v>
      </c>
      <c r="H262" s="48">
        <f t="shared" si="17"/>
        <v>0</v>
      </c>
      <c r="I262" s="18"/>
      <c r="J262" s="18"/>
      <c r="K262" s="18"/>
      <c r="O262" s="18"/>
      <c r="P262" s="101"/>
    </row>
    <row r="263" spans="1:16" s="15" customFormat="1" ht="33" customHeight="1">
      <c r="A263" s="53" t="s">
        <v>496</v>
      </c>
      <c r="B263" s="52" t="s">
        <v>33</v>
      </c>
      <c r="C263" s="53" t="s">
        <v>590</v>
      </c>
      <c r="D263" s="53" t="s">
        <v>32</v>
      </c>
      <c r="E263" s="53" t="s">
        <v>178</v>
      </c>
      <c r="F263" s="48">
        <v>3</v>
      </c>
      <c r="G263" s="48">
        <v>0</v>
      </c>
      <c r="H263" s="48">
        <v>0</v>
      </c>
      <c r="I263" s="18"/>
      <c r="J263" s="18"/>
      <c r="K263" s="18"/>
      <c r="O263" s="18"/>
      <c r="P263" s="101"/>
    </row>
    <row r="264" spans="1:16" s="15" customFormat="1" ht="96.75" customHeight="1">
      <c r="A264" s="53" t="s">
        <v>785</v>
      </c>
      <c r="B264" s="79" t="s">
        <v>652</v>
      </c>
      <c r="C264" s="53" t="s">
        <v>651</v>
      </c>
      <c r="D264" s="53"/>
      <c r="E264" s="53"/>
      <c r="F264" s="48">
        <f t="shared" si="17"/>
        <v>2200</v>
      </c>
      <c r="G264" s="48">
        <f t="shared" si="17"/>
        <v>0</v>
      </c>
      <c r="H264" s="48">
        <f t="shared" si="17"/>
        <v>0</v>
      </c>
      <c r="I264" s="18"/>
      <c r="J264" s="18"/>
      <c r="K264" s="18"/>
      <c r="O264" s="18"/>
      <c r="P264" s="101"/>
    </row>
    <row r="265" spans="1:16" s="15" customFormat="1" ht="33" customHeight="1">
      <c r="A265" s="53" t="s">
        <v>1015</v>
      </c>
      <c r="B265" s="68" t="s">
        <v>653</v>
      </c>
      <c r="C265" s="53" t="s">
        <v>651</v>
      </c>
      <c r="D265" s="53" t="s">
        <v>101</v>
      </c>
      <c r="E265" s="53" t="s">
        <v>9</v>
      </c>
      <c r="F265" s="48">
        <f t="shared" si="17"/>
        <v>2200</v>
      </c>
      <c r="G265" s="48">
        <f t="shared" si="17"/>
        <v>0</v>
      </c>
      <c r="H265" s="48">
        <f t="shared" si="17"/>
        <v>0</v>
      </c>
      <c r="I265" s="18"/>
      <c r="J265" s="18"/>
      <c r="K265" s="18"/>
      <c r="O265" s="18"/>
      <c r="P265" s="101"/>
    </row>
    <row r="266" spans="1:16" s="15" customFormat="1" ht="20.25" customHeight="1">
      <c r="A266" s="53" t="s">
        <v>1016</v>
      </c>
      <c r="B266" s="68" t="s">
        <v>654</v>
      </c>
      <c r="C266" s="53" t="s">
        <v>651</v>
      </c>
      <c r="D266" s="53" t="s">
        <v>106</v>
      </c>
      <c r="E266" s="53" t="s">
        <v>149</v>
      </c>
      <c r="F266" s="48">
        <v>2200</v>
      </c>
      <c r="G266" s="48">
        <v>0</v>
      </c>
      <c r="H266" s="48">
        <v>0</v>
      </c>
      <c r="I266" s="18"/>
      <c r="J266" s="18"/>
      <c r="K266" s="18"/>
      <c r="M266" s="41">
        <v>2361.2</v>
      </c>
      <c r="O266" s="18"/>
      <c r="P266" s="101"/>
    </row>
    <row r="267" spans="1:16" s="15" customFormat="1" ht="33" customHeight="1">
      <c r="A267" s="53" t="s">
        <v>1017</v>
      </c>
      <c r="B267" s="71" t="s">
        <v>558</v>
      </c>
      <c r="C267" s="65" t="s">
        <v>199</v>
      </c>
      <c r="D267" s="65"/>
      <c r="E267" s="65"/>
      <c r="F267" s="57">
        <f>F290+F268+F275+F282+F285</f>
        <v>14040.900000000001</v>
      </c>
      <c r="G267" s="57">
        <f>G290+G268+G275+G282</f>
        <v>12432.000000000002</v>
      </c>
      <c r="H267" s="57">
        <f>H290+H268+H275+H282</f>
        <v>12432.000000000002</v>
      </c>
      <c r="I267" s="18"/>
      <c r="J267" s="18"/>
      <c r="K267" s="18"/>
      <c r="O267" s="18"/>
      <c r="P267" s="101"/>
    </row>
    <row r="268" spans="1:16" s="15" customFormat="1" ht="70.5" customHeight="1">
      <c r="A268" s="53" t="s">
        <v>1018</v>
      </c>
      <c r="B268" s="80" t="s">
        <v>644</v>
      </c>
      <c r="C268" s="53" t="s">
        <v>200</v>
      </c>
      <c r="D268" s="53"/>
      <c r="E268" s="53"/>
      <c r="F268" s="48">
        <f>F269+F271+F273</f>
        <v>7805.6</v>
      </c>
      <c r="G268" s="48">
        <f>G269+G271+G273</f>
        <v>7005.6</v>
      </c>
      <c r="H268" s="48">
        <f>H269+H271+H273</f>
        <v>7005.6</v>
      </c>
      <c r="I268" s="18"/>
      <c r="J268" s="18"/>
      <c r="K268" s="18"/>
      <c r="O268" s="18"/>
      <c r="P268" s="101"/>
    </row>
    <row r="269" spans="1:16" s="15" customFormat="1" ht="54" customHeight="1">
      <c r="A269" s="53" t="s">
        <v>1019</v>
      </c>
      <c r="B269" s="68" t="s">
        <v>46</v>
      </c>
      <c r="C269" s="53" t="s">
        <v>200</v>
      </c>
      <c r="D269" s="53" t="s">
        <v>44</v>
      </c>
      <c r="E269" s="53" t="s">
        <v>163</v>
      </c>
      <c r="F269" s="48">
        <f>F270</f>
        <v>5038.6</v>
      </c>
      <c r="G269" s="48">
        <f>G270</f>
        <v>5038.6</v>
      </c>
      <c r="H269" s="48">
        <f>H270</f>
        <v>5038.6</v>
      </c>
      <c r="I269" s="18"/>
      <c r="J269" s="18"/>
      <c r="K269" s="18"/>
      <c r="O269" s="18"/>
      <c r="P269" s="101"/>
    </row>
    <row r="270" spans="1:16" s="15" customFormat="1" ht="18" customHeight="1">
      <c r="A270" s="53" t="s">
        <v>1020</v>
      </c>
      <c r="B270" s="68" t="s">
        <v>47</v>
      </c>
      <c r="C270" s="53" t="s">
        <v>200</v>
      </c>
      <c r="D270" s="53" t="s">
        <v>128</v>
      </c>
      <c r="E270" s="53" t="s">
        <v>178</v>
      </c>
      <c r="F270" s="48">
        <v>5038.6</v>
      </c>
      <c r="G270" s="48">
        <v>5038.6</v>
      </c>
      <c r="H270" s="48">
        <v>5038.6</v>
      </c>
      <c r="I270" s="18"/>
      <c r="J270" s="18"/>
      <c r="K270" s="18">
        <v>-43</v>
      </c>
      <c r="O270" s="18"/>
      <c r="P270" s="101"/>
    </row>
    <row r="271" spans="1:16" s="15" customFormat="1" ht="30" customHeight="1">
      <c r="A271" s="53" t="s">
        <v>902</v>
      </c>
      <c r="B271" s="52" t="s">
        <v>16</v>
      </c>
      <c r="C271" s="53" t="s">
        <v>200</v>
      </c>
      <c r="D271" s="53" t="s">
        <v>11</v>
      </c>
      <c r="E271" s="53" t="s">
        <v>163</v>
      </c>
      <c r="F271" s="48">
        <f>F272</f>
        <v>2758</v>
      </c>
      <c r="G271" s="48">
        <f>G272</f>
        <v>1958</v>
      </c>
      <c r="H271" s="48">
        <f>H272</f>
        <v>1958</v>
      </c>
      <c r="I271" s="18"/>
      <c r="J271" s="18"/>
      <c r="K271" s="18"/>
      <c r="O271" s="18"/>
      <c r="P271" s="101"/>
    </row>
    <row r="272" spans="1:16" s="15" customFormat="1" ht="28.5" customHeight="1">
      <c r="A272" s="53" t="s">
        <v>903</v>
      </c>
      <c r="B272" s="52" t="s">
        <v>17</v>
      </c>
      <c r="C272" s="53" t="s">
        <v>200</v>
      </c>
      <c r="D272" s="53" t="s">
        <v>7</v>
      </c>
      <c r="E272" s="53" t="s">
        <v>178</v>
      </c>
      <c r="F272" s="48">
        <f>1958+800</f>
        <v>2758</v>
      </c>
      <c r="G272" s="48">
        <v>1958</v>
      </c>
      <c r="H272" s="48">
        <v>1958</v>
      </c>
      <c r="I272" s="18"/>
      <c r="J272" s="18"/>
      <c r="K272" s="18"/>
      <c r="O272" s="18"/>
      <c r="P272" s="106">
        <v>800</v>
      </c>
    </row>
    <row r="273" spans="1:16" s="15" customFormat="1" ht="17.25" customHeight="1">
      <c r="A273" s="53" t="s">
        <v>904</v>
      </c>
      <c r="B273" s="68" t="s">
        <v>119</v>
      </c>
      <c r="C273" s="53" t="s">
        <v>200</v>
      </c>
      <c r="D273" s="53" t="s">
        <v>122</v>
      </c>
      <c r="E273" s="53" t="s">
        <v>163</v>
      </c>
      <c r="F273" s="48">
        <f>SUM(F274)</f>
        <v>9</v>
      </c>
      <c r="G273" s="48">
        <f>SUM(G274)</f>
        <v>9</v>
      </c>
      <c r="H273" s="48">
        <f>SUM(H274)</f>
        <v>9</v>
      </c>
      <c r="I273" s="18"/>
      <c r="J273" s="18"/>
      <c r="K273" s="18"/>
      <c r="O273" s="18"/>
      <c r="P273" s="101"/>
    </row>
    <row r="274" spans="1:16" s="15" customFormat="1" ht="21.75" customHeight="1">
      <c r="A274" s="53" t="s">
        <v>335</v>
      </c>
      <c r="B274" s="68" t="s">
        <v>120</v>
      </c>
      <c r="C274" s="53" t="s">
        <v>200</v>
      </c>
      <c r="D274" s="53" t="s">
        <v>123</v>
      </c>
      <c r="E274" s="53" t="s">
        <v>178</v>
      </c>
      <c r="F274" s="48">
        <v>9</v>
      </c>
      <c r="G274" s="48">
        <v>9</v>
      </c>
      <c r="H274" s="48">
        <v>9</v>
      </c>
      <c r="I274" s="18"/>
      <c r="J274" s="18"/>
      <c r="K274" s="18">
        <v>33.6</v>
      </c>
      <c r="O274" s="18"/>
      <c r="P274" s="101"/>
    </row>
    <row r="275" spans="1:16" s="15" customFormat="1" ht="73.5" customHeight="1">
      <c r="A275" s="53" t="s">
        <v>369</v>
      </c>
      <c r="B275" s="52" t="s">
        <v>559</v>
      </c>
      <c r="C275" s="53" t="s">
        <v>201</v>
      </c>
      <c r="D275" s="53"/>
      <c r="E275" s="53"/>
      <c r="F275" s="48">
        <f>F276+F278+F280</f>
        <v>4843.3</v>
      </c>
      <c r="G275" s="48">
        <f>G276+G278+G280</f>
        <v>4843.3</v>
      </c>
      <c r="H275" s="48">
        <f>H276+H278+H280</f>
        <v>4843.3</v>
      </c>
      <c r="I275" s="18"/>
      <c r="J275" s="18"/>
      <c r="K275" s="18"/>
      <c r="O275" s="18"/>
      <c r="P275" s="101"/>
    </row>
    <row r="276" spans="1:16" s="15" customFormat="1" ht="57" customHeight="1">
      <c r="A276" s="53" t="s">
        <v>370</v>
      </c>
      <c r="B276" s="68" t="s">
        <v>46</v>
      </c>
      <c r="C276" s="53" t="s">
        <v>201</v>
      </c>
      <c r="D276" s="53" t="s">
        <v>44</v>
      </c>
      <c r="E276" s="53" t="s">
        <v>163</v>
      </c>
      <c r="F276" s="48">
        <f>F277</f>
        <v>4590.2</v>
      </c>
      <c r="G276" s="48">
        <f>G277</f>
        <v>4590.2</v>
      </c>
      <c r="H276" s="48">
        <f>H277</f>
        <v>4590.2</v>
      </c>
      <c r="I276" s="18"/>
      <c r="J276" s="18"/>
      <c r="K276" s="18"/>
      <c r="O276" s="18"/>
      <c r="P276" s="101"/>
    </row>
    <row r="277" spans="1:16" s="15" customFormat="1" ht="31.5" customHeight="1">
      <c r="A277" s="53" t="s">
        <v>371</v>
      </c>
      <c r="B277" s="68" t="s">
        <v>130</v>
      </c>
      <c r="C277" s="53" t="s">
        <v>201</v>
      </c>
      <c r="D277" s="53" t="s">
        <v>45</v>
      </c>
      <c r="E277" s="53" t="s">
        <v>178</v>
      </c>
      <c r="F277" s="48">
        <v>4590.2</v>
      </c>
      <c r="G277" s="48">
        <v>4590.2</v>
      </c>
      <c r="H277" s="48">
        <v>4590.2</v>
      </c>
      <c r="I277" s="18"/>
      <c r="J277" s="18"/>
      <c r="K277" s="18"/>
      <c r="O277" s="18"/>
      <c r="P277" s="101"/>
    </row>
    <row r="278" spans="1:16" s="15" customFormat="1" ht="33" customHeight="1">
      <c r="A278" s="53" t="s">
        <v>497</v>
      </c>
      <c r="B278" s="52" t="s">
        <v>16</v>
      </c>
      <c r="C278" s="53" t="s">
        <v>201</v>
      </c>
      <c r="D278" s="53" t="s">
        <v>11</v>
      </c>
      <c r="E278" s="53" t="s">
        <v>163</v>
      </c>
      <c r="F278" s="48">
        <f>F279</f>
        <v>248.1</v>
      </c>
      <c r="G278" s="48">
        <f>G279</f>
        <v>248.1</v>
      </c>
      <c r="H278" s="48">
        <f>H279</f>
        <v>248.1</v>
      </c>
      <c r="I278" s="18"/>
      <c r="J278" s="18"/>
      <c r="K278" s="18"/>
      <c r="O278" s="18"/>
      <c r="P278" s="101"/>
    </row>
    <row r="279" spans="1:16" s="15" customFormat="1" ht="30.75" customHeight="1">
      <c r="A279" s="53" t="s">
        <v>786</v>
      </c>
      <c r="B279" s="52" t="s">
        <v>17</v>
      </c>
      <c r="C279" s="53" t="s">
        <v>201</v>
      </c>
      <c r="D279" s="53" t="s">
        <v>7</v>
      </c>
      <c r="E279" s="53" t="s">
        <v>178</v>
      </c>
      <c r="F279" s="48">
        <v>248.1</v>
      </c>
      <c r="G279" s="48">
        <v>248.1</v>
      </c>
      <c r="H279" s="48">
        <v>248.1</v>
      </c>
      <c r="I279" s="18"/>
      <c r="J279" s="18"/>
      <c r="K279" s="18"/>
      <c r="O279" s="18"/>
      <c r="P279" s="101"/>
    </row>
    <row r="280" spans="1:16" s="15" customFormat="1" ht="21.75" customHeight="1">
      <c r="A280" s="53" t="s">
        <v>787</v>
      </c>
      <c r="B280" s="68" t="s">
        <v>119</v>
      </c>
      <c r="C280" s="53" t="s">
        <v>201</v>
      </c>
      <c r="D280" s="53" t="s">
        <v>122</v>
      </c>
      <c r="E280" s="53" t="s">
        <v>163</v>
      </c>
      <c r="F280" s="48">
        <f>SUM(F281)</f>
        <v>5</v>
      </c>
      <c r="G280" s="48">
        <f>SUM(G281)</f>
        <v>5</v>
      </c>
      <c r="H280" s="48">
        <f>SUM(H281)</f>
        <v>5</v>
      </c>
      <c r="I280" s="18"/>
      <c r="J280" s="18"/>
      <c r="K280" s="18"/>
      <c r="O280" s="18"/>
      <c r="P280" s="101"/>
    </row>
    <row r="281" spans="1:16" s="15" customFormat="1" ht="22.5" customHeight="1">
      <c r="A281" s="53" t="s">
        <v>788</v>
      </c>
      <c r="B281" s="68" t="s">
        <v>120</v>
      </c>
      <c r="C281" s="53" t="s">
        <v>201</v>
      </c>
      <c r="D281" s="53" t="s">
        <v>123</v>
      </c>
      <c r="E281" s="53" t="s">
        <v>178</v>
      </c>
      <c r="F281" s="48">
        <v>5</v>
      </c>
      <c r="G281" s="48">
        <v>5</v>
      </c>
      <c r="H281" s="48">
        <v>5</v>
      </c>
      <c r="I281" s="18"/>
      <c r="J281" s="18"/>
      <c r="K281" s="18"/>
      <c r="O281" s="18"/>
      <c r="P281" s="101"/>
    </row>
    <row r="282" spans="1:16" s="16" customFormat="1" ht="99" customHeight="1">
      <c r="A282" s="53" t="s">
        <v>708</v>
      </c>
      <c r="B282" s="52" t="s">
        <v>560</v>
      </c>
      <c r="C282" s="53" t="s">
        <v>465</v>
      </c>
      <c r="D282" s="53"/>
      <c r="E282" s="53"/>
      <c r="F282" s="48">
        <f aca="true" t="shared" si="18" ref="F282:H288">F283</f>
        <v>473.1</v>
      </c>
      <c r="G282" s="48">
        <f t="shared" si="18"/>
        <v>473.1</v>
      </c>
      <c r="H282" s="48">
        <f t="shared" si="18"/>
        <v>473.1</v>
      </c>
      <c r="I282" s="22"/>
      <c r="J282" s="22"/>
      <c r="K282" s="22"/>
      <c r="O282" s="22"/>
      <c r="P282" s="105"/>
    </row>
    <row r="283" spans="1:16" s="14" customFormat="1" ht="58.5" customHeight="1">
      <c r="A283" s="53" t="s">
        <v>709</v>
      </c>
      <c r="B283" s="68" t="s">
        <v>46</v>
      </c>
      <c r="C283" s="53" t="s">
        <v>465</v>
      </c>
      <c r="D283" s="53" t="s">
        <v>44</v>
      </c>
      <c r="E283" s="53" t="s">
        <v>163</v>
      </c>
      <c r="F283" s="48">
        <f t="shared" si="18"/>
        <v>473.1</v>
      </c>
      <c r="G283" s="48">
        <f t="shared" si="18"/>
        <v>473.1</v>
      </c>
      <c r="H283" s="48">
        <f t="shared" si="18"/>
        <v>473.1</v>
      </c>
      <c r="I283" s="21"/>
      <c r="J283" s="21"/>
      <c r="K283" s="21"/>
      <c r="O283" s="21"/>
      <c r="P283" s="108"/>
    </row>
    <row r="284" spans="1:16" s="15" customFormat="1" ht="24" customHeight="1">
      <c r="A284" s="53" t="s">
        <v>710</v>
      </c>
      <c r="B284" s="68" t="s">
        <v>47</v>
      </c>
      <c r="C284" s="53" t="s">
        <v>465</v>
      </c>
      <c r="D284" s="53" t="s">
        <v>128</v>
      </c>
      <c r="E284" s="53" t="s">
        <v>178</v>
      </c>
      <c r="F284" s="48">
        <v>473.1</v>
      </c>
      <c r="G284" s="48">
        <v>473.1</v>
      </c>
      <c r="H284" s="48">
        <v>473.1</v>
      </c>
      <c r="I284" s="18"/>
      <c r="J284" s="18"/>
      <c r="K284" s="18">
        <v>130</v>
      </c>
      <c r="O284" s="18"/>
      <c r="P284" s="101"/>
    </row>
    <row r="285" spans="1:16" s="15" customFormat="1" ht="90" customHeight="1">
      <c r="A285" s="53" t="s">
        <v>789</v>
      </c>
      <c r="B285" s="52" t="s">
        <v>1147</v>
      </c>
      <c r="C285" s="53" t="s">
        <v>1148</v>
      </c>
      <c r="D285" s="53"/>
      <c r="E285" s="53"/>
      <c r="F285" s="48">
        <f>F286+F288</f>
        <v>808.9</v>
      </c>
      <c r="G285" s="48">
        <f t="shared" si="18"/>
        <v>0</v>
      </c>
      <c r="H285" s="48">
        <f t="shared" si="18"/>
        <v>0</v>
      </c>
      <c r="I285" s="18"/>
      <c r="J285" s="18"/>
      <c r="K285" s="18"/>
      <c r="O285" s="18"/>
      <c r="P285" s="101"/>
    </row>
    <row r="286" spans="1:16" s="15" customFormat="1" ht="60" customHeight="1">
      <c r="A286" s="53" t="s">
        <v>790</v>
      </c>
      <c r="B286" s="68" t="s">
        <v>46</v>
      </c>
      <c r="C286" s="53" t="s">
        <v>1148</v>
      </c>
      <c r="D286" s="53" t="s">
        <v>44</v>
      </c>
      <c r="E286" s="53" t="s">
        <v>163</v>
      </c>
      <c r="F286" s="48">
        <f t="shared" si="18"/>
        <v>497.9</v>
      </c>
      <c r="G286" s="48">
        <f t="shared" si="18"/>
        <v>0</v>
      </c>
      <c r="H286" s="48">
        <f t="shared" si="18"/>
        <v>0</v>
      </c>
      <c r="I286" s="18"/>
      <c r="J286" s="18"/>
      <c r="K286" s="18"/>
      <c r="O286" s="18"/>
      <c r="P286" s="101"/>
    </row>
    <row r="287" spans="1:16" s="15" customFormat="1" ht="24" customHeight="1">
      <c r="A287" s="53" t="s">
        <v>791</v>
      </c>
      <c r="B287" s="68" t="s">
        <v>47</v>
      </c>
      <c r="C287" s="53" t="s">
        <v>1148</v>
      </c>
      <c r="D287" s="53" t="s">
        <v>128</v>
      </c>
      <c r="E287" s="53" t="s">
        <v>178</v>
      </c>
      <c r="F287" s="48">
        <v>497.9</v>
      </c>
      <c r="G287" s="48">
        <v>0</v>
      </c>
      <c r="H287" s="48">
        <v>0</v>
      </c>
      <c r="I287" s="18"/>
      <c r="J287" s="18"/>
      <c r="K287" s="18"/>
      <c r="O287" s="18"/>
      <c r="P287" s="106">
        <v>497.9</v>
      </c>
    </row>
    <row r="288" spans="1:16" s="15" customFormat="1" ht="57.75" customHeight="1">
      <c r="A288" s="53" t="s">
        <v>711</v>
      </c>
      <c r="B288" s="68" t="s">
        <v>46</v>
      </c>
      <c r="C288" s="53" t="s">
        <v>1148</v>
      </c>
      <c r="D288" s="53" t="s">
        <v>44</v>
      </c>
      <c r="E288" s="53" t="s">
        <v>163</v>
      </c>
      <c r="F288" s="48">
        <f t="shared" si="18"/>
        <v>311</v>
      </c>
      <c r="G288" s="48">
        <f t="shared" si="18"/>
        <v>0</v>
      </c>
      <c r="H288" s="48">
        <f t="shared" si="18"/>
        <v>0</v>
      </c>
      <c r="I288" s="18"/>
      <c r="J288" s="18"/>
      <c r="K288" s="18"/>
      <c r="O288" s="18"/>
      <c r="P288" s="101"/>
    </row>
    <row r="289" spans="1:16" s="15" customFormat="1" ht="34.5" customHeight="1">
      <c r="A289" s="53" t="s">
        <v>712</v>
      </c>
      <c r="B289" s="68" t="s">
        <v>130</v>
      </c>
      <c r="C289" s="53" t="s">
        <v>1148</v>
      </c>
      <c r="D289" s="53" t="s">
        <v>45</v>
      </c>
      <c r="E289" s="53" t="s">
        <v>178</v>
      </c>
      <c r="F289" s="48">
        <v>311</v>
      </c>
      <c r="G289" s="48">
        <v>0</v>
      </c>
      <c r="H289" s="48">
        <v>0</v>
      </c>
      <c r="I289" s="18"/>
      <c r="J289" s="18"/>
      <c r="K289" s="18"/>
      <c r="O289" s="18"/>
      <c r="P289" s="106">
        <v>311</v>
      </c>
    </row>
    <row r="290" spans="1:16" s="15" customFormat="1" ht="72" customHeight="1">
      <c r="A290" s="53" t="s">
        <v>713</v>
      </c>
      <c r="B290" s="52" t="s">
        <v>735</v>
      </c>
      <c r="C290" s="53" t="s">
        <v>591</v>
      </c>
      <c r="D290" s="53"/>
      <c r="E290" s="53"/>
      <c r="F290" s="48">
        <f aca="true" t="shared" si="19" ref="F290:H291">F291</f>
        <v>110</v>
      </c>
      <c r="G290" s="48">
        <f t="shared" si="19"/>
        <v>110</v>
      </c>
      <c r="H290" s="48">
        <f t="shared" si="19"/>
        <v>110</v>
      </c>
      <c r="I290" s="18"/>
      <c r="J290" s="18"/>
      <c r="K290" s="18"/>
      <c r="O290" s="18"/>
      <c r="P290" s="101"/>
    </row>
    <row r="291" spans="1:16" s="15" customFormat="1" ht="35.25" customHeight="1">
      <c r="A291" s="53" t="s">
        <v>714</v>
      </c>
      <c r="B291" s="52" t="s">
        <v>16</v>
      </c>
      <c r="C291" s="53" t="s">
        <v>591</v>
      </c>
      <c r="D291" s="53" t="s">
        <v>11</v>
      </c>
      <c r="E291" s="53" t="s">
        <v>163</v>
      </c>
      <c r="F291" s="48">
        <f t="shared" si="19"/>
        <v>110</v>
      </c>
      <c r="G291" s="48">
        <f t="shared" si="19"/>
        <v>110</v>
      </c>
      <c r="H291" s="48">
        <f t="shared" si="19"/>
        <v>110</v>
      </c>
      <c r="I291" s="18"/>
      <c r="J291" s="18"/>
      <c r="K291" s="18"/>
      <c r="O291" s="18"/>
      <c r="P291" s="101"/>
    </row>
    <row r="292" spans="1:16" s="15" customFormat="1" ht="36" customHeight="1">
      <c r="A292" s="53" t="s">
        <v>905</v>
      </c>
      <c r="B292" s="52" t="s">
        <v>17</v>
      </c>
      <c r="C292" s="53" t="s">
        <v>591</v>
      </c>
      <c r="D292" s="53" t="s">
        <v>7</v>
      </c>
      <c r="E292" s="53" t="s">
        <v>178</v>
      </c>
      <c r="F292" s="48">
        <v>110</v>
      </c>
      <c r="G292" s="48">
        <v>110</v>
      </c>
      <c r="H292" s="48">
        <v>110</v>
      </c>
      <c r="I292" s="18"/>
      <c r="J292" s="18"/>
      <c r="K292" s="18"/>
      <c r="O292" s="18"/>
      <c r="P292" s="101"/>
    </row>
    <row r="293" spans="1:16" s="15" customFormat="1" ht="59.25" customHeight="1">
      <c r="A293" s="53" t="s">
        <v>906</v>
      </c>
      <c r="B293" s="70" t="s">
        <v>318</v>
      </c>
      <c r="C293" s="63" t="s">
        <v>203</v>
      </c>
      <c r="D293" s="63"/>
      <c r="E293" s="63"/>
      <c r="F293" s="66">
        <f>F294+F319+F330</f>
        <v>150997.9</v>
      </c>
      <c r="G293" s="66">
        <f>G294+G319+G330</f>
        <v>100156.4</v>
      </c>
      <c r="H293" s="66">
        <f>H294+H319+H330</f>
        <v>121867.6</v>
      </c>
      <c r="I293" s="18"/>
      <c r="J293" s="18"/>
      <c r="K293" s="18"/>
      <c r="O293" s="18"/>
      <c r="P293" s="101"/>
    </row>
    <row r="294" spans="1:16" s="15" customFormat="1" ht="34.5" customHeight="1">
      <c r="A294" s="53" t="s">
        <v>907</v>
      </c>
      <c r="B294" s="81" t="s">
        <v>319</v>
      </c>
      <c r="C294" s="65" t="s">
        <v>204</v>
      </c>
      <c r="D294" s="65"/>
      <c r="E294" s="65"/>
      <c r="F294" s="57">
        <f>F310+F298+F295+F316+F313+F307+F304+F301</f>
        <v>125503.8</v>
      </c>
      <c r="G294" s="57">
        <f>G310+G298+G295+G316+G313+G307</f>
        <v>91027.9</v>
      </c>
      <c r="H294" s="57">
        <f>H310+H298+H295+H316+H313+H307</f>
        <v>112739.1</v>
      </c>
      <c r="I294" s="18"/>
      <c r="J294" s="18"/>
      <c r="K294" s="18"/>
      <c r="O294" s="18"/>
      <c r="P294" s="101"/>
    </row>
    <row r="295" spans="1:16" s="15" customFormat="1" ht="85.5" customHeight="1">
      <c r="A295" s="53" t="s">
        <v>908</v>
      </c>
      <c r="B295" s="69" t="s">
        <v>727</v>
      </c>
      <c r="C295" s="53" t="s">
        <v>593</v>
      </c>
      <c r="D295" s="53"/>
      <c r="E295" s="53"/>
      <c r="F295" s="48">
        <f aca="true" t="shared" si="20" ref="F295:H296">F296</f>
        <v>40871.9</v>
      </c>
      <c r="G295" s="48">
        <f t="shared" si="20"/>
        <v>41751.9</v>
      </c>
      <c r="H295" s="48">
        <f t="shared" si="20"/>
        <v>41751.9</v>
      </c>
      <c r="I295" s="18"/>
      <c r="J295" s="18"/>
      <c r="K295" s="18"/>
      <c r="O295" s="18"/>
      <c r="P295" s="101"/>
    </row>
    <row r="296" spans="1:16" s="15" customFormat="1" ht="31.5" customHeight="1">
      <c r="A296" s="53" t="s">
        <v>909</v>
      </c>
      <c r="B296" s="52" t="s">
        <v>162</v>
      </c>
      <c r="C296" s="53" t="s">
        <v>593</v>
      </c>
      <c r="D296" s="53" t="s">
        <v>31</v>
      </c>
      <c r="E296" s="53" t="s">
        <v>417</v>
      </c>
      <c r="F296" s="48">
        <f t="shared" si="20"/>
        <v>40871.9</v>
      </c>
      <c r="G296" s="48">
        <f t="shared" si="20"/>
        <v>41751.9</v>
      </c>
      <c r="H296" s="48">
        <f t="shared" si="20"/>
        <v>41751.9</v>
      </c>
      <c r="I296" s="18"/>
      <c r="J296" s="18"/>
      <c r="K296" s="18"/>
      <c r="O296" s="18"/>
      <c r="P296" s="101"/>
    </row>
    <row r="297" spans="1:16" s="15" customFormat="1" ht="24.75" customHeight="1">
      <c r="A297" s="53" t="s">
        <v>910</v>
      </c>
      <c r="B297" s="52" t="s">
        <v>33</v>
      </c>
      <c r="C297" s="53" t="s">
        <v>593</v>
      </c>
      <c r="D297" s="53" t="s">
        <v>32</v>
      </c>
      <c r="E297" s="53" t="s">
        <v>153</v>
      </c>
      <c r="F297" s="48">
        <v>40871.9</v>
      </c>
      <c r="G297" s="48">
        <v>41751.9</v>
      </c>
      <c r="H297" s="48">
        <v>41751.9</v>
      </c>
      <c r="I297" s="18"/>
      <c r="J297" s="18"/>
      <c r="K297" s="18"/>
      <c r="O297" s="18"/>
      <c r="P297" s="101"/>
    </row>
    <row r="298" spans="1:16" s="15" customFormat="1" ht="111" customHeight="1">
      <c r="A298" s="53" t="s">
        <v>911</v>
      </c>
      <c r="B298" s="52" t="s">
        <v>394</v>
      </c>
      <c r="C298" s="53" t="s">
        <v>452</v>
      </c>
      <c r="D298" s="53"/>
      <c r="E298" s="53"/>
      <c r="F298" s="48">
        <f aca="true" t="shared" si="21" ref="F298:H305">F299</f>
        <v>57587.2</v>
      </c>
      <c r="G298" s="48">
        <f t="shared" si="21"/>
        <v>47476</v>
      </c>
      <c r="H298" s="48">
        <f t="shared" si="21"/>
        <v>69187.2</v>
      </c>
      <c r="I298" s="18"/>
      <c r="J298" s="18"/>
      <c r="K298" s="18"/>
      <c r="O298" s="18"/>
      <c r="P298" s="101"/>
    </row>
    <row r="299" spans="1:16" s="15" customFormat="1" ht="30.75" customHeight="1">
      <c r="A299" s="53" t="s">
        <v>912</v>
      </c>
      <c r="B299" s="52" t="s">
        <v>162</v>
      </c>
      <c r="C299" s="53" t="s">
        <v>452</v>
      </c>
      <c r="D299" s="53" t="s">
        <v>31</v>
      </c>
      <c r="E299" s="53" t="s">
        <v>417</v>
      </c>
      <c r="F299" s="48">
        <f t="shared" si="21"/>
        <v>57587.2</v>
      </c>
      <c r="G299" s="48">
        <f t="shared" si="21"/>
        <v>47476</v>
      </c>
      <c r="H299" s="48">
        <f t="shared" si="21"/>
        <v>69187.2</v>
      </c>
      <c r="I299" s="18"/>
      <c r="J299" s="18"/>
      <c r="K299" s="18"/>
      <c r="O299" s="18"/>
      <c r="P299" s="101"/>
    </row>
    <row r="300" spans="1:16" s="15" customFormat="1" ht="23.25" customHeight="1">
      <c r="A300" s="53" t="s">
        <v>913</v>
      </c>
      <c r="B300" s="52" t="s">
        <v>33</v>
      </c>
      <c r="C300" s="53" t="s">
        <v>452</v>
      </c>
      <c r="D300" s="53" t="s">
        <v>32</v>
      </c>
      <c r="E300" s="53" t="s">
        <v>153</v>
      </c>
      <c r="F300" s="48">
        <v>57587.2</v>
      </c>
      <c r="G300" s="48">
        <v>47476</v>
      </c>
      <c r="H300" s="48">
        <v>69187.2</v>
      </c>
      <c r="I300" s="18"/>
      <c r="J300" s="18"/>
      <c r="K300" s="18"/>
      <c r="O300" s="18"/>
      <c r="P300" s="101"/>
    </row>
    <row r="301" spans="1:16" s="15" customFormat="1" ht="108" customHeight="1">
      <c r="A301" s="53" t="s">
        <v>293</v>
      </c>
      <c r="B301" s="52" t="s">
        <v>1097</v>
      </c>
      <c r="C301" s="53" t="s">
        <v>1096</v>
      </c>
      <c r="D301" s="53"/>
      <c r="E301" s="53"/>
      <c r="F301" s="48">
        <f t="shared" si="21"/>
        <v>19230.8</v>
      </c>
      <c r="G301" s="48">
        <f t="shared" si="21"/>
        <v>0</v>
      </c>
      <c r="H301" s="48">
        <f t="shared" si="21"/>
        <v>0</v>
      </c>
      <c r="I301" s="18"/>
      <c r="J301" s="18"/>
      <c r="K301" s="18"/>
      <c r="O301" s="18"/>
      <c r="P301" s="101"/>
    </row>
    <row r="302" spans="1:16" s="15" customFormat="1" ht="41.25" customHeight="1">
      <c r="A302" s="53" t="s">
        <v>498</v>
      </c>
      <c r="B302" s="52" t="s">
        <v>162</v>
      </c>
      <c r="C302" s="53" t="s">
        <v>1096</v>
      </c>
      <c r="D302" s="53" t="s">
        <v>31</v>
      </c>
      <c r="E302" s="53" t="s">
        <v>417</v>
      </c>
      <c r="F302" s="48">
        <f t="shared" si="21"/>
        <v>19230.8</v>
      </c>
      <c r="G302" s="48">
        <f t="shared" si="21"/>
        <v>0</v>
      </c>
      <c r="H302" s="48">
        <f t="shared" si="21"/>
        <v>0</v>
      </c>
      <c r="I302" s="18"/>
      <c r="J302" s="18"/>
      <c r="K302" s="18"/>
      <c r="O302" s="18"/>
      <c r="P302" s="101"/>
    </row>
    <row r="303" spans="1:16" s="15" customFormat="1" ht="23.25" customHeight="1">
      <c r="A303" s="53" t="s">
        <v>499</v>
      </c>
      <c r="B303" s="52" t="s">
        <v>33</v>
      </c>
      <c r="C303" s="53" t="s">
        <v>1096</v>
      </c>
      <c r="D303" s="53" t="s">
        <v>32</v>
      </c>
      <c r="E303" s="53" t="s">
        <v>153</v>
      </c>
      <c r="F303" s="48">
        <v>19230.8</v>
      </c>
      <c r="G303" s="48">
        <v>0</v>
      </c>
      <c r="H303" s="48">
        <v>0</v>
      </c>
      <c r="I303" s="18"/>
      <c r="J303" s="18"/>
      <c r="K303" s="18"/>
      <c r="O303" s="18"/>
      <c r="P303" s="106">
        <v>19230.8</v>
      </c>
    </row>
    <row r="304" spans="1:16" s="15" customFormat="1" ht="94.5" customHeight="1">
      <c r="A304" s="53" t="s">
        <v>792</v>
      </c>
      <c r="B304" s="77" t="s">
        <v>1070</v>
      </c>
      <c r="C304" s="53" t="s">
        <v>1068</v>
      </c>
      <c r="D304" s="53"/>
      <c r="E304" s="53"/>
      <c r="F304" s="48">
        <f t="shared" si="21"/>
        <v>3739.9</v>
      </c>
      <c r="G304" s="48">
        <f t="shared" si="21"/>
        <v>0</v>
      </c>
      <c r="H304" s="48">
        <f t="shared" si="21"/>
        <v>0</v>
      </c>
      <c r="I304" s="18"/>
      <c r="J304" s="18"/>
      <c r="K304" s="18"/>
      <c r="O304" s="18"/>
      <c r="P304" s="101"/>
    </row>
    <row r="305" spans="1:16" s="15" customFormat="1" ht="23.25" customHeight="1">
      <c r="A305" s="53" t="s">
        <v>793</v>
      </c>
      <c r="B305" s="68" t="s">
        <v>14</v>
      </c>
      <c r="C305" s="53" t="s">
        <v>1068</v>
      </c>
      <c r="D305" s="53" t="s">
        <v>19</v>
      </c>
      <c r="E305" s="53" t="s">
        <v>417</v>
      </c>
      <c r="F305" s="48">
        <f t="shared" si="21"/>
        <v>3739.9</v>
      </c>
      <c r="G305" s="48">
        <f t="shared" si="21"/>
        <v>0</v>
      </c>
      <c r="H305" s="48">
        <f t="shared" si="21"/>
        <v>0</v>
      </c>
      <c r="I305" s="18"/>
      <c r="J305" s="18"/>
      <c r="K305" s="18"/>
      <c r="O305" s="18"/>
      <c r="P305" s="101"/>
    </row>
    <row r="306" spans="1:16" s="15" customFormat="1" ht="23.25" customHeight="1">
      <c r="A306" s="53" t="s">
        <v>794</v>
      </c>
      <c r="B306" s="68" t="s">
        <v>15</v>
      </c>
      <c r="C306" s="53" t="s">
        <v>1068</v>
      </c>
      <c r="D306" s="53" t="s">
        <v>18</v>
      </c>
      <c r="E306" s="53" t="s">
        <v>1069</v>
      </c>
      <c r="F306" s="48">
        <v>3739.9</v>
      </c>
      <c r="G306" s="48">
        <v>0</v>
      </c>
      <c r="H306" s="48">
        <v>0</v>
      </c>
      <c r="I306" s="18"/>
      <c r="J306" s="18"/>
      <c r="K306" s="18"/>
      <c r="O306" s="18"/>
      <c r="P306" s="106">
        <v>3739.9</v>
      </c>
    </row>
    <row r="307" spans="1:16" s="15" customFormat="1" ht="99" customHeight="1">
      <c r="A307" s="53" t="s">
        <v>795</v>
      </c>
      <c r="B307" s="52" t="s">
        <v>1002</v>
      </c>
      <c r="C307" s="53" t="s">
        <v>1003</v>
      </c>
      <c r="D307" s="53"/>
      <c r="E307" s="53"/>
      <c r="F307" s="48">
        <f aca="true" t="shared" si="22" ref="F307:H308">F308</f>
        <v>3430</v>
      </c>
      <c r="G307" s="48">
        <f t="shared" si="22"/>
        <v>1280</v>
      </c>
      <c r="H307" s="48">
        <f t="shared" si="22"/>
        <v>1280</v>
      </c>
      <c r="I307" s="18"/>
      <c r="J307" s="18"/>
      <c r="K307" s="18"/>
      <c r="O307" s="18"/>
      <c r="P307" s="101"/>
    </row>
    <row r="308" spans="1:16" s="15" customFormat="1" ht="23.25" customHeight="1">
      <c r="A308" s="53" t="s">
        <v>184</v>
      </c>
      <c r="B308" s="68" t="s">
        <v>14</v>
      </c>
      <c r="C308" s="53" t="s">
        <v>1003</v>
      </c>
      <c r="D308" s="53" t="s">
        <v>19</v>
      </c>
      <c r="E308" s="53" t="s">
        <v>417</v>
      </c>
      <c r="F308" s="48">
        <f t="shared" si="22"/>
        <v>3430</v>
      </c>
      <c r="G308" s="48">
        <f t="shared" si="22"/>
        <v>1280</v>
      </c>
      <c r="H308" s="48">
        <f t="shared" si="22"/>
        <v>1280</v>
      </c>
      <c r="I308" s="18"/>
      <c r="J308" s="18"/>
      <c r="K308" s="18"/>
      <c r="O308" s="18"/>
      <c r="P308" s="101"/>
    </row>
    <row r="309" spans="1:16" s="15" customFormat="1" ht="23.25" customHeight="1">
      <c r="A309" s="53" t="s">
        <v>796</v>
      </c>
      <c r="B309" s="68" t="s">
        <v>15</v>
      </c>
      <c r="C309" s="53" t="s">
        <v>1003</v>
      </c>
      <c r="D309" s="53" t="s">
        <v>18</v>
      </c>
      <c r="E309" s="53" t="s">
        <v>173</v>
      </c>
      <c r="F309" s="48">
        <f>1280+2150</f>
        <v>3430</v>
      </c>
      <c r="G309" s="48">
        <v>1280</v>
      </c>
      <c r="H309" s="48">
        <v>1280</v>
      </c>
      <c r="I309" s="18"/>
      <c r="J309" s="18"/>
      <c r="K309" s="18"/>
      <c r="O309" s="18"/>
      <c r="P309" s="106">
        <v>2150</v>
      </c>
    </row>
    <row r="310" spans="1:16" s="15" customFormat="1" ht="83.25" customHeight="1">
      <c r="A310" s="53" t="s">
        <v>797</v>
      </c>
      <c r="B310" s="52" t="s">
        <v>728</v>
      </c>
      <c r="C310" s="53" t="s">
        <v>592</v>
      </c>
      <c r="D310" s="53"/>
      <c r="E310" s="53"/>
      <c r="F310" s="48">
        <f aca="true" t="shared" si="23" ref="F310:H311">F311</f>
        <v>530</v>
      </c>
      <c r="G310" s="48">
        <f t="shared" si="23"/>
        <v>500</v>
      </c>
      <c r="H310" s="48">
        <f t="shared" si="23"/>
        <v>500</v>
      </c>
      <c r="I310" s="18"/>
      <c r="J310" s="18"/>
      <c r="K310" s="18"/>
      <c r="O310" s="18"/>
      <c r="P310" s="101"/>
    </row>
    <row r="311" spans="1:16" s="15" customFormat="1" ht="21.75" customHeight="1">
      <c r="A311" s="53" t="s">
        <v>798</v>
      </c>
      <c r="B311" s="68" t="s">
        <v>119</v>
      </c>
      <c r="C311" s="53" t="s">
        <v>592</v>
      </c>
      <c r="D311" s="53" t="s">
        <v>122</v>
      </c>
      <c r="E311" s="53" t="s">
        <v>417</v>
      </c>
      <c r="F311" s="48">
        <f>F312</f>
        <v>530</v>
      </c>
      <c r="G311" s="48">
        <f t="shared" si="23"/>
        <v>500</v>
      </c>
      <c r="H311" s="48">
        <f t="shared" si="23"/>
        <v>500</v>
      </c>
      <c r="I311" s="18"/>
      <c r="J311" s="18"/>
      <c r="K311" s="18"/>
      <c r="O311" s="18"/>
      <c r="P311" s="101"/>
    </row>
    <row r="312" spans="1:16" s="15" customFormat="1" ht="47.25" customHeight="1">
      <c r="A312" s="53" t="s">
        <v>799</v>
      </c>
      <c r="B312" s="69" t="s">
        <v>6</v>
      </c>
      <c r="C312" s="53" t="s">
        <v>592</v>
      </c>
      <c r="D312" s="53" t="s">
        <v>159</v>
      </c>
      <c r="E312" s="53" t="s">
        <v>173</v>
      </c>
      <c r="F312" s="48">
        <v>530</v>
      </c>
      <c r="G312" s="48">
        <v>500</v>
      </c>
      <c r="H312" s="48">
        <v>500</v>
      </c>
      <c r="I312" s="18"/>
      <c r="J312" s="18"/>
      <c r="K312" s="18">
        <v>215</v>
      </c>
      <c r="L312" s="15">
        <v>300</v>
      </c>
      <c r="O312" s="18"/>
      <c r="P312" s="101"/>
    </row>
    <row r="313" spans="1:16" s="15" customFormat="1" ht="80.25" customHeight="1">
      <c r="A313" s="53" t="s">
        <v>80</v>
      </c>
      <c r="B313" s="52" t="s">
        <v>730</v>
      </c>
      <c r="C313" s="53" t="s">
        <v>729</v>
      </c>
      <c r="D313" s="53"/>
      <c r="E313" s="53"/>
      <c r="F313" s="48">
        <f aca="true" t="shared" si="24" ref="F313:H314">F314</f>
        <v>30</v>
      </c>
      <c r="G313" s="48">
        <f t="shared" si="24"/>
        <v>20</v>
      </c>
      <c r="H313" s="48">
        <f t="shared" si="24"/>
        <v>20</v>
      </c>
      <c r="I313" s="18"/>
      <c r="J313" s="18"/>
      <c r="K313" s="18"/>
      <c r="O313" s="18"/>
      <c r="P313" s="101"/>
    </row>
    <row r="314" spans="1:16" s="15" customFormat="1" ht="16.5" customHeight="1">
      <c r="A314" s="53" t="s">
        <v>81</v>
      </c>
      <c r="B314" s="68" t="s">
        <v>119</v>
      </c>
      <c r="C314" s="53" t="s">
        <v>729</v>
      </c>
      <c r="D314" s="53" t="s">
        <v>122</v>
      </c>
      <c r="E314" s="53" t="s">
        <v>417</v>
      </c>
      <c r="F314" s="48">
        <f t="shared" si="24"/>
        <v>30</v>
      </c>
      <c r="G314" s="48">
        <f t="shared" si="24"/>
        <v>20</v>
      </c>
      <c r="H314" s="48">
        <f t="shared" si="24"/>
        <v>20</v>
      </c>
      <c r="I314" s="18"/>
      <c r="J314" s="18"/>
      <c r="K314" s="18"/>
      <c r="O314" s="18"/>
      <c r="P314" s="101"/>
    </row>
    <row r="315" spans="1:16" s="15" customFormat="1" ht="45.75" customHeight="1">
      <c r="A315" s="53" t="s">
        <v>500</v>
      </c>
      <c r="B315" s="69" t="s">
        <v>6</v>
      </c>
      <c r="C315" s="53" t="s">
        <v>729</v>
      </c>
      <c r="D315" s="53" t="s">
        <v>159</v>
      </c>
      <c r="E315" s="53" t="s">
        <v>173</v>
      </c>
      <c r="F315" s="48">
        <v>30</v>
      </c>
      <c r="G315" s="48">
        <v>20</v>
      </c>
      <c r="H315" s="48">
        <v>20</v>
      </c>
      <c r="I315" s="18"/>
      <c r="J315" s="18"/>
      <c r="K315" s="18"/>
      <c r="O315" s="18"/>
      <c r="P315" s="101"/>
    </row>
    <row r="316" spans="1:16" s="15" customFormat="1" ht="148.5" customHeight="1">
      <c r="A316" s="53" t="s">
        <v>501</v>
      </c>
      <c r="B316" s="77" t="s">
        <v>467</v>
      </c>
      <c r="C316" s="53" t="s">
        <v>466</v>
      </c>
      <c r="D316" s="53"/>
      <c r="E316" s="53"/>
      <c r="F316" s="48">
        <f aca="true" t="shared" si="25" ref="F316:H317">F317</f>
        <v>84</v>
      </c>
      <c r="G316" s="48">
        <f t="shared" si="25"/>
        <v>0</v>
      </c>
      <c r="H316" s="48">
        <f t="shared" si="25"/>
        <v>0</v>
      </c>
      <c r="I316" s="18"/>
      <c r="J316" s="18"/>
      <c r="K316" s="18"/>
      <c r="O316" s="18"/>
      <c r="P316" s="101"/>
    </row>
    <row r="317" spans="1:16" s="15" customFormat="1" ht="33" customHeight="1">
      <c r="A317" s="53" t="s">
        <v>502</v>
      </c>
      <c r="B317" s="52" t="s">
        <v>16</v>
      </c>
      <c r="C317" s="53" t="s">
        <v>466</v>
      </c>
      <c r="D317" s="53" t="s">
        <v>11</v>
      </c>
      <c r="E317" s="53" t="s">
        <v>417</v>
      </c>
      <c r="F317" s="48">
        <f t="shared" si="25"/>
        <v>84</v>
      </c>
      <c r="G317" s="48">
        <f t="shared" si="25"/>
        <v>0</v>
      </c>
      <c r="H317" s="48">
        <f t="shared" si="25"/>
        <v>0</v>
      </c>
      <c r="I317" s="18"/>
      <c r="J317" s="18"/>
      <c r="K317" s="18"/>
      <c r="O317" s="18"/>
      <c r="P317" s="101"/>
    </row>
    <row r="318" spans="1:16" s="15" customFormat="1" ht="34.5" customHeight="1">
      <c r="A318" s="53" t="s">
        <v>186</v>
      </c>
      <c r="B318" s="52" t="s">
        <v>17</v>
      </c>
      <c r="C318" s="53" t="s">
        <v>466</v>
      </c>
      <c r="D318" s="53" t="s">
        <v>7</v>
      </c>
      <c r="E318" s="53" t="s">
        <v>153</v>
      </c>
      <c r="F318" s="48">
        <v>84</v>
      </c>
      <c r="G318" s="48">
        <v>0</v>
      </c>
      <c r="H318" s="48">
        <v>0</v>
      </c>
      <c r="I318" s="18"/>
      <c r="J318" s="18"/>
      <c r="K318" s="18"/>
      <c r="M318" s="41">
        <v>59.3</v>
      </c>
      <c r="O318" s="18"/>
      <c r="P318" s="101"/>
    </row>
    <row r="319" spans="1:16" s="15" customFormat="1" ht="35.25" customHeight="1">
      <c r="A319" s="53" t="s">
        <v>800</v>
      </c>
      <c r="B319" s="71" t="s">
        <v>154</v>
      </c>
      <c r="C319" s="65" t="s">
        <v>205</v>
      </c>
      <c r="D319" s="65"/>
      <c r="E319" s="65"/>
      <c r="F319" s="56">
        <f>F320+F327</f>
        <v>3796.7999999999997</v>
      </c>
      <c r="G319" s="56">
        <f>G320</f>
        <v>3388.2</v>
      </c>
      <c r="H319" s="56">
        <f>H320</f>
        <v>3388.2</v>
      </c>
      <c r="I319" s="18"/>
      <c r="J319" s="18"/>
      <c r="K319" s="18"/>
      <c r="M319" s="41">
        <v>-0.6</v>
      </c>
      <c r="O319" s="18"/>
      <c r="P319" s="101"/>
    </row>
    <row r="320" spans="1:16" s="15" customFormat="1" ht="85.5" customHeight="1">
      <c r="A320" s="53" t="s">
        <v>801</v>
      </c>
      <c r="B320" s="52" t="s">
        <v>595</v>
      </c>
      <c r="C320" s="53" t="s">
        <v>206</v>
      </c>
      <c r="D320" s="53"/>
      <c r="E320" s="53"/>
      <c r="F320" s="55">
        <f>F321+F323+F325</f>
        <v>3497.7999999999997</v>
      </c>
      <c r="G320" s="55">
        <f>G321+G323+G325</f>
        <v>3388.2</v>
      </c>
      <c r="H320" s="55">
        <f>H321+H323+H325</f>
        <v>3388.2</v>
      </c>
      <c r="I320" s="18"/>
      <c r="J320" s="18"/>
      <c r="K320" s="18"/>
      <c r="O320" s="18"/>
      <c r="P320" s="101"/>
    </row>
    <row r="321" spans="1:16" s="15" customFormat="1" ht="54.75" customHeight="1">
      <c r="A321" s="53" t="s">
        <v>802</v>
      </c>
      <c r="B321" s="68" t="s">
        <v>46</v>
      </c>
      <c r="C321" s="53" t="s">
        <v>206</v>
      </c>
      <c r="D321" s="53" t="s">
        <v>44</v>
      </c>
      <c r="E321" s="53" t="s">
        <v>417</v>
      </c>
      <c r="F321" s="55">
        <f>F322</f>
        <v>3268.4</v>
      </c>
      <c r="G321" s="55">
        <f>G322</f>
        <v>3268.4</v>
      </c>
      <c r="H321" s="55">
        <f>H322</f>
        <v>3268.4</v>
      </c>
      <c r="I321" s="18"/>
      <c r="J321" s="18"/>
      <c r="K321" s="18">
        <v>996</v>
      </c>
      <c r="O321" s="18"/>
      <c r="P321" s="101"/>
    </row>
    <row r="322" spans="1:16" s="15" customFormat="1" ht="18.75" customHeight="1">
      <c r="A322" s="53" t="s">
        <v>803</v>
      </c>
      <c r="B322" s="68" t="s">
        <v>47</v>
      </c>
      <c r="C322" s="53" t="s">
        <v>206</v>
      </c>
      <c r="D322" s="53" t="s">
        <v>128</v>
      </c>
      <c r="E322" s="53" t="s">
        <v>153</v>
      </c>
      <c r="F322" s="48">
        <v>3268.4</v>
      </c>
      <c r="G322" s="48">
        <v>3268.4</v>
      </c>
      <c r="H322" s="48">
        <v>3268.4</v>
      </c>
      <c r="I322" s="18"/>
      <c r="J322" s="18"/>
      <c r="K322" s="18"/>
      <c r="O322" s="18"/>
      <c r="P322" s="101"/>
    </row>
    <row r="323" spans="1:16" s="15" customFormat="1" ht="28.5" customHeight="1">
      <c r="A323" s="53" t="s">
        <v>804</v>
      </c>
      <c r="B323" s="52" t="s">
        <v>16</v>
      </c>
      <c r="C323" s="53" t="s">
        <v>206</v>
      </c>
      <c r="D323" s="53" t="s">
        <v>11</v>
      </c>
      <c r="E323" s="53" t="s">
        <v>417</v>
      </c>
      <c r="F323" s="55">
        <f>F324</f>
        <v>229.2</v>
      </c>
      <c r="G323" s="55">
        <f>G324</f>
        <v>119.6</v>
      </c>
      <c r="H323" s="55">
        <f>H324</f>
        <v>119.6</v>
      </c>
      <c r="I323" s="18"/>
      <c r="J323" s="18"/>
      <c r="K323" s="18"/>
      <c r="M323" s="41">
        <v>0.6</v>
      </c>
      <c r="O323" s="18"/>
      <c r="P323" s="101"/>
    </row>
    <row r="324" spans="1:16" s="15" customFormat="1" ht="28.5" customHeight="1">
      <c r="A324" s="53" t="s">
        <v>805</v>
      </c>
      <c r="B324" s="52" t="s">
        <v>17</v>
      </c>
      <c r="C324" s="53" t="s">
        <v>206</v>
      </c>
      <c r="D324" s="53" t="s">
        <v>7</v>
      </c>
      <c r="E324" s="53" t="s">
        <v>153</v>
      </c>
      <c r="F324" s="48">
        <f>119.6+109.6</f>
        <v>229.2</v>
      </c>
      <c r="G324" s="48">
        <v>119.6</v>
      </c>
      <c r="H324" s="48">
        <v>119.6</v>
      </c>
      <c r="I324" s="18"/>
      <c r="J324" s="18"/>
      <c r="K324" s="18"/>
      <c r="O324" s="18"/>
      <c r="P324" s="101"/>
    </row>
    <row r="325" spans="1:16" s="15" customFormat="1" ht="26.25" customHeight="1">
      <c r="A325" s="53" t="s">
        <v>372</v>
      </c>
      <c r="B325" s="68" t="s">
        <v>119</v>
      </c>
      <c r="C325" s="53" t="s">
        <v>206</v>
      </c>
      <c r="D325" s="53" t="s">
        <v>122</v>
      </c>
      <c r="E325" s="53" t="s">
        <v>417</v>
      </c>
      <c r="F325" s="48">
        <f>SUM(F326)</f>
        <v>0.2</v>
      </c>
      <c r="G325" s="48">
        <f>SUM(G326)</f>
        <v>0.2</v>
      </c>
      <c r="H325" s="48">
        <f>SUM(H326)</f>
        <v>0.2</v>
      </c>
      <c r="I325" s="18"/>
      <c r="J325" s="18"/>
      <c r="K325" s="18"/>
      <c r="O325" s="18"/>
      <c r="P325" s="101"/>
    </row>
    <row r="326" spans="1:16" s="15" customFormat="1" ht="15.75" customHeight="1">
      <c r="A326" s="53" t="s">
        <v>82</v>
      </c>
      <c r="B326" s="68" t="s">
        <v>120</v>
      </c>
      <c r="C326" s="53" t="s">
        <v>206</v>
      </c>
      <c r="D326" s="53" t="s">
        <v>123</v>
      </c>
      <c r="E326" s="53" t="s">
        <v>153</v>
      </c>
      <c r="F326" s="48">
        <v>0.2</v>
      </c>
      <c r="G326" s="48">
        <v>0.2</v>
      </c>
      <c r="H326" s="48">
        <v>0.2</v>
      </c>
      <c r="I326" s="18"/>
      <c r="J326" s="18"/>
      <c r="K326" s="18"/>
      <c r="O326" s="18"/>
      <c r="P326" s="101"/>
    </row>
    <row r="327" spans="1:16" s="15" customFormat="1" ht="97.5" customHeight="1">
      <c r="A327" s="53" t="s">
        <v>83</v>
      </c>
      <c r="B327" s="52" t="s">
        <v>1128</v>
      </c>
      <c r="C327" s="53" t="s">
        <v>1127</v>
      </c>
      <c r="D327" s="53"/>
      <c r="E327" s="53"/>
      <c r="F327" s="55">
        <f aca="true" t="shared" si="26" ref="F327:H328">F328</f>
        <v>299</v>
      </c>
      <c r="G327" s="55">
        <f t="shared" si="26"/>
        <v>0</v>
      </c>
      <c r="H327" s="55">
        <f t="shared" si="26"/>
        <v>0</v>
      </c>
      <c r="I327" s="18"/>
      <c r="J327" s="18"/>
      <c r="K327" s="18"/>
      <c r="O327" s="18"/>
      <c r="P327" s="101"/>
    </row>
    <row r="328" spans="1:16" s="15" customFormat="1" ht="54" customHeight="1">
      <c r="A328" s="53" t="s">
        <v>151</v>
      </c>
      <c r="B328" s="68" t="s">
        <v>46</v>
      </c>
      <c r="C328" s="53" t="s">
        <v>1127</v>
      </c>
      <c r="D328" s="53" t="s">
        <v>44</v>
      </c>
      <c r="E328" s="53" t="s">
        <v>417</v>
      </c>
      <c r="F328" s="55">
        <f t="shared" si="26"/>
        <v>299</v>
      </c>
      <c r="G328" s="55">
        <f t="shared" si="26"/>
        <v>0</v>
      </c>
      <c r="H328" s="55">
        <f t="shared" si="26"/>
        <v>0</v>
      </c>
      <c r="I328" s="18"/>
      <c r="J328" s="18"/>
      <c r="K328" s="18"/>
      <c r="O328" s="18"/>
      <c r="P328" s="101"/>
    </row>
    <row r="329" spans="1:16" s="15" customFormat="1" ht="27" customHeight="1">
      <c r="A329" s="53" t="s">
        <v>503</v>
      </c>
      <c r="B329" s="68" t="s">
        <v>47</v>
      </c>
      <c r="C329" s="53" t="s">
        <v>1127</v>
      </c>
      <c r="D329" s="53" t="s">
        <v>128</v>
      </c>
      <c r="E329" s="53" t="s">
        <v>153</v>
      </c>
      <c r="F329" s="48">
        <v>299</v>
      </c>
      <c r="G329" s="48">
        <v>0</v>
      </c>
      <c r="H329" s="48">
        <v>0</v>
      </c>
      <c r="I329" s="18"/>
      <c r="J329" s="18"/>
      <c r="K329" s="18"/>
      <c r="O329" s="18"/>
      <c r="P329" s="106">
        <v>299</v>
      </c>
    </row>
    <row r="330" spans="1:16" s="15" customFormat="1" ht="18" customHeight="1">
      <c r="A330" s="53" t="s">
        <v>504</v>
      </c>
      <c r="B330" s="81" t="s">
        <v>209</v>
      </c>
      <c r="C330" s="65" t="s">
        <v>207</v>
      </c>
      <c r="D330" s="65"/>
      <c r="E330" s="65"/>
      <c r="F330" s="57">
        <f>SUM(F341+F344+F331+F347+F350+F353+F356+F338)</f>
        <v>21697.3</v>
      </c>
      <c r="G330" s="57">
        <f>SUM(G341+G344+G331)</f>
        <v>5740.299999999999</v>
      </c>
      <c r="H330" s="57">
        <f>SUM(H341+H344+H331)</f>
        <v>5740.299999999999</v>
      </c>
      <c r="I330" s="18"/>
      <c r="J330" s="18"/>
      <c r="K330" s="18">
        <v>148</v>
      </c>
      <c r="O330" s="18"/>
      <c r="P330" s="101"/>
    </row>
    <row r="331" spans="1:16" s="15" customFormat="1" ht="72.75" customHeight="1">
      <c r="A331" s="53" t="s">
        <v>373</v>
      </c>
      <c r="B331" s="52" t="s">
        <v>596</v>
      </c>
      <c r="C331" s="53" t="s">
        <v>597</v>
      </c>
      <c r="D331" s="53"/>
      <c r="E331" s="53"/>
      <c r="F331" s="48">
        <f>SUM(F332+F334+F336)</f>
        <v>3764.2</v>
      </c>
      <c r="G331" s="48">
        <f>SUM(G332+G334+G336)</f>
        <v>3764.2</v>
      </c>
      <c r="H331" s="48">
        <f>SUM(H332+H334+H336)</f>
        <v>3764.2</v>
      </c>
      <c r="I331" s="18"/>
      <c r="J331" s="18"/>
      <c r="K331" s="18"/>
      <c r="O331" s="18"/>
      <c r="P331" s="101"/>
    </row>
    <row r="332" spans="1:16" s="15" customFormat="1" ht="54.75" customHeight="1">
      <c r="A332" s="53" t="s">
        <v>84</v>
      </c>
      <c r="B332" s="68" t="s">
        <v>46</v>
      </c>
      <c r="C332" s="53" t="s">
        <v>597</v>
      </c>
      <c r="D332" s="53" t="s">
        <v>44</v>
      </c>
      <c r="E332" s="53" t="s">
        <v>417</v>
      </c>
      <c r="F332" s="48">
        <f>SUM(F333)</f>
        <v>3176.7</v>
      </c>
      <c r="G332" s="48">
        <f>SUM(G333)</f>
        <v>3176.7</v>
      </c>
      <c r="H332" s="48">
        <f>SUM(H333)</f>
        <v>3176.7</v>
      </c>
      <c r="I332" s="18"/>
      <c r="J332" s="18"/>
      <c r="K332" s="18"/>
      <c r="O332" s="18"/>
      <c r="P332" s="101"/>
    </row>
    <row r="333" spans="1:16" s="15" customFormat="1" ht="19.5" customHeight="1">
      <c r="A333" s="53" t="s">
        <v>85</v>
      </c>
      <c r="B333" s="68" t="s">
        <v>47</v>
      </c>
      <c r="C333" s="53" t="s">
        <v>597</v>
      </c>
      <c r="D333" s="53" t="s">
        <v>128</v>
      </c>
      <c r="E333" s="53" t="s">
        <v>153</v>
      </c>
      <c r="F333" s="48">
        <v>3176.7</v>
      </c>
      <c r="G333" s="48">
        <v>3176.7</v>
      </c>
      <c r="H333" s="48">
        <v>3176.7</v>
      </c>
      <c r="I333" s="18"/>
      <c r="J333" s="18"/>
      <c r="K333" s="18"/>
      <c r="O333" s="18"/>
      <c r="P333" s="101"/>
    </row>
    <row r="334" spans="1:16" s="15" customFormat="1" ht="38.25" customHeight="1">
      <c r="A334" s="53" t="s">
        <v>86</v>
      </c>
      <c r="B334" s="52" t="s">
        <v>16</v>
      </c>
      <c r="C334" s="53" t="s">
        <v>597</v>
      </c>
      <c r="D334" s="53" t="s">
        <v>11</v>
      </c>
      <c r="E334" s="53" t="s">
        <v>417</v>
      </c>
      <c r="F334" s="48">
        <f>SUM(F335)</f>
        <v>587</v>
      </c>
      <c r="G334" s="48">
        <f>SUM(G335)</f>
        <v>587</v>
      </c>
      <c r="H334" s="48">
        <f>SUM(H335)</f>
        <v>587</v>
      </c>
      <c r="I334" s="18"/>
      <c r="J334" s="18"/>
      <c r="K334" s="18"/>
      <c r="O334" s="18"/>
      <c r="P334" s="101"/>
    </row>
    <row r="335" spans="1:16" s="15" customFormat="1" ht="31.5" customHeight="1">
      <c r="A335" s="53" t="s">
        <v>87</v>
      </c>
      <c r="B335" s="52" t="s">
        <v>17</v>
      </c>
      <c r="C335" s="53" t="s">
        <v>597</v>
      </c>
      <c r="D335" s="53" t="s">
        <v>7</v>
      </c>
      <c r="E335" s="53" t="s">
        <v>153</v>
      </c>
      <c r="F335" s="48">
        <v>587</v>
      </c>
      <c r="G335" s="48">
        <v>587</v>
      </c>
      <c r="H335" s="48">
        <v>587</v>
      </c>
      <c r="I335" s="18"/>
      <c r="J335" s="18"/>
      <c r="K335" s="18"/>
      <c r="O335" s="18"/>
      <c r="P335" s="101"/>
    </row>
    <row r="336" spans="1:16" s="15" customFormat="1" ht="15" customHeight="1">
      <c r="A336" s="53" t="s">
        <v>88</v>
      </c>
      <c r="B336" s="68" t="s">
        <v>119</v>
      </c>
      <c r="C336" s="53" t="s">
        <v>597</v>
      </c>
      <c r="D336" s="53" t="s">
        <v>122</v>
      </c>
      <c r="E336" s="53" t="s">
        <v>417</v>
      </c>
      <c r="F336" s="48">
        <f>SUM(F337)</f>
        <v>0.5</v>
      </c>
      <c r="G336" s="48">
        <f>SUM(G337)</f>
        <v>0.5</v>
      </c>
      <c r="H336" s="48">
        <f>SUM(H337)</f>
        <v>0.5</v>
      </c>
      <c r="I336" s="18"/>
      <c r="J336" s="18"/>
      <c r="K336" s="18"/>
      <c r="O336" s="18"/>
      <c r="P336" s="101"/>
    </row>
    <row r="337" spans="1:16" s="15" customFormat="1" ht="18" customHeight="1">
      <c r="A337" s="53" t="s">
        <v>806</v>
      </c>
      <c r="B337" s="68" t="s">
        <v>120</v>
      </c>
      <c r="C337" s="53" t="s">
        <v>597</v>
      </c>
      <c r="D337" s="53" t="s">
        <v>123</v>
      </c>
      <c r="E337" s="53" t="s">
        <v>153</v>
      </c>
      <c r="F337" s="48">
        <v>0.5</v>
      </c>
      <c r="G337" s="48">
        <v>0.5</v>
      </c>
      <c r="H337" s="48">
        <v>0.5</v>
      </c>
      <c r="I337" s="18"/>
      <c r="J337" s="18"/>
      <c r="K337" s="18"/>
      <c r="M337" s="41">
        <v>185</v>
      </c>
      <c r="O337" s="18"/>
      <c r="P337" s="101"/>
    </row>
    <row r="338" spans="1:16" s="15" customFormat="1" ht="96" customHeight="1">
      <c r="A338" s="53" t="s">
        <v>807</v>
      </c>
      <c r="B338" s="93" t="s">
        <v>1098</v>
      </c>
      <c r="C338" s="53" t="s">
        <v>1099</v>
      </c>
      <c r="D338" s="53"/>
      <c r="E338" s="53"/>
      <c r="F338" s="48">
        <f aca="true" t="shared" si="27" ref="F338:H339">SUM(F339)</f>
        <v>250</v>
      </c>
      <c r="G338" s="48">
        <f t="shared" si="27"/>
        <v>0</v>
      </c>
      <c r="H338" s="48">
        <f t="shared" si="27"/>
        <v>0</v>
      </c>
      <c r="I338" s="18"/>
      <c r="J338" s="18"/>
      <c r="K338" s="18"/>
      <c r="M338" s="41"/>
      <c r="O338" s="18"/>
      <c r="P338" s="101"/>
    </row>
    <row r="339" spans="1:16" s="15" customFormat="1" ht="63" customHeight="1">
      <c r="A339" s="53" t="s">
        <v>808</v>
      </c>
      <c r="B339" s="68" t="s">
        <v>46</v>
      </c>
      <c r="C339" s="53" t="s">
        <v>1099</v>
      </c>
      <c r="D339" s="53" t="s">
        <v>44</v>
      </c>
      <c r="E339" s="53" t="s">
        <v>417</v>
      </c>
      <c r="F339" s="48">
        <f t="shared" si="27"/>
        <v>250</v>
      </c>
      <c r="G339" s="48">
        <f t="shared" si="27"/>
        <v>0</v>
      </c>
      <c r="H339" s="48">
        <f t="shared" si="27"/>
        <v>0</v>
      </c>
      <c r="I339" s="18"/>
      <c r="J339" s="18"/>
      <c r="K339" s="18"/>
      <c r="M339" s="41"/>
      <c r="O339" s="18"/>
      <c r="P339" s="101"/>
    </row>
    <row r="340" spans="1:16" s="15" customFormat="1" ht="18" customHeight="1">
      <c r="A340" s="53" t="s">
        <v>715</v>
      </c>
      <c r="B340" s="68" t="s">
        <v>47</v>
      </c>
      <c r="C340" s="53" t="s">
        <v>1099</v>
      </c>
      <c r="D340" s="53" t="s">
        <v>128</v>
      </c>
      <c r="E340" s="53" t="s">
        <v>153</v>
      </c>
      <c r="F340" s="48">
        <v>250</v>
      </c>
      <c r="G340" s="48">
        <v>0</v>
      </c>
      <c r="H340" s="48">
        <v>0</v>
      </c>
      <c r="I340" s="18"/>
      <c r="J340" s="18"/>
      <c r="K340" s="18"/>
      <c r="M340" s="41"/>
      <c r="O340" s="18"/>
      <c r="P340" s="106">
        <v>250</v>
      </c>
    </row>
    <row r="341" spans="1:16" s="15" customFormat="1" ht="81" customHeight="1">
      <c r="A341" s="53" t="s">
        <v>716</v>
      </c>
      <c r="B341" s="79" t="s">
        <v>562</v>
      </c>
      <c r="C341" s="53" t="s">
        <v>208</v>
      </c>
      <c r="D341" s="53"/>
      <c r="E341" s="53"/>
      <c r="F341" s="48">
        <f aca="true" t="shared" si="28" ref="F341:H342">SUM(F342)</f>
        <v>606.1</v>
      </c>
      <c r="G341" s="48">
        <f t="shared" si="28"/>
        <v>606.1</v>
      </c>
      <c r="H341" s="48">
        <f t="shared" si="28"/>
        <v>606.1</v>
      </c>
      <c r="I341" s="18"/>
      <c r="J341" s="18"/>
      <c r="K341" s="18"/>
      <c r="O341" s="18"/>
      <c r="P341" s="101"/>
    </row>
    <row r="342" spans="1:16" s="15" customFormat="1" ht="17.25" customHeight="1">
      <c r="A342" s="53" t="s">
        <v>717</v>
      </c>
      <c r="B342" s="68" t="s">
        <v>119</v>
      </c>
      <c r="C342" s="53" t="s">
        <v>208</v>
      </c>
      <c r="D342" s="53" t="s">
        <v>122</v>
      </c>
      <c r="E342" s="53" t="s">
        <v>417</v>
      </c>
      <c r="F342" s="48">
        <f t="shared" si="28"/>
        <v>606.1</v>
      </c>
      <c r="G342" s="48">
        <f t="shared" si="28"/>
        <v>606.1</v>
      </c>
      <c r="H342" s="48">
        <f t="shared" si="28"/>
        <v>606.1</v>
      </c>
      <c r="I342" s="18"/>
      <c r="J342" s="18"/>
      <c r="K342" s="18"/>
      <c r="O342" s="18"/>
      <c r="P342" s="101"/>
    </row>
    <row r="343" spans="1:16" s="15" customFormat="1" ht="46.5" customHeight="1">
      <c r="A343" s="53" t="s">
        <v>914</v>
      </c>
      <c r="B343" s="69" t="s">
        <v>6</v>
      </c>
      <c r="C343" s="53" t="s">
        <v>208</v>
      </c>
      <c r="D343" s="53" t="s">
        <v>159</v>
      </c>
      <c r="E343" s="53" t="s">
        <v>173</v>
      </c>
      <c r="F343" s="48">
        <v>606.1</v>
      </c>
      <c r="G343" s="48">
        <v>606.1</v>
      </c>
      <c r="H343" s="48">
        <v>606.1</v>
      </c>
      <c r="I343" s="18"/>
      <c r="J343" s="18"/>
      <c r="K343" s="18"/>
      <c r="O343" s="18"/>
      <c r="P343" s="101"/>
    </row>
    <row r="344" spans="1:16" s="15" customFormat="1" ht="96" customHeight="1">
      <c r="A344" s="53" t="s">
        <v>915</v>
      </c>
      <c r="B344" s="68" t="s">
        <v>569</v>
      </c>
      <c r="C344" s="53" t="s">
        <v>594</v>
      </c>
      <c r="D344" s="53"/>
      <c r="E344" s="65"/>
      <c r="F344" s="48">
        <f aca="true" t="shared" si="29" ref="F344:H345">SUM(F345)</f>
        <v>1370</v>
      </c>
      <c r="G344" s="48">
        <f t="shared" si="29"/>
        <v>1370</v>
      </c>
      <c r="H344" s="48">
        <f t="shared" si="29"/>
        <v>1370</v>
      </c>
      <c r="I344" s="18"/>
      <c r="J344" s="18"/>
      <c r="K344" s="18"/>
      <c r="O344" s="18"/>
      <c r="P344" s="101"/>
    </row>
    <row r="345" spans="1:16" s="15" customFormat="1" ht="16.5" customHeight="1">
      <c r="A345" s="53" t="s">
        <v>916</v>
      </c>
      <c r="B345" s="68" t="s">
        <v>14</v>
      </c>
      <c r="C345" s="53" t="s">
        <v>594</v>
      </c>
      <c r="D345" s="53" t="s">
        <v>19</v>
      </c>
      <c r="E345" s="53" t="s">
        <v>417</v>
      </c>
      <c r="F345" s="48">
        <f t="shared" si="29"/>
        <v>1370</v>
      </c>
      <c r="G345" s="48">
        <f t="shared" si="29"/>
        <v>1370</v>
      </c>
      <c r="H345" s="48">
        <f t="shared" si="29"/>
        <v>1370</v>
      </c>
      <c r="I345" s="18"/>
      <c r="J345" s="18"/>
      <c r="K345" s="18"/>
      <c r="O345" s="18"/>
      <c r="P345" s="101"/>
    </row>
    <row r="346" spans="1:16" s="15" customFormat="1" ht="18" customHeight="1">
      <c r="A346" s="53" t="s">
        <v>718</v>
      </c>
      <c r="B346" s="68" t="s">
        <v>15</v>
      </c>
      <c r="C346" s="53" t="s">
        <v>594</v>
      </c>
      <c r="D346" s="53" t="s">
        <v>18</v>
      </c>
      <c r="E346" s="53" t="s">
        <v>153</v>
      </c>
      <c r="F346" s="48">
        <v>1370</v>
      </c>
      <c r="G346" s="48">
        <v>1370</v>
      </c>
      <c r="H346" s="48">
        <v>1370</v>
      </c>
      <c r="I346" s="18"/>
      <c r="J346" s="18"/>
      <c r="K346" s="18"/>
      <c r="M346" s="41">
        <v>4284.9</v>
      </c>
      <c r="O346" s="18"/>
      <c r="P346" s="101"/>
    </row>
    <row r="347" spans="1:16" s="15" customFormat="1" ht="73.5" customHeight="1">
      <c r="A347" s="53" t="s">
        <v>719</v>
      </c>
      <c r="B347" s="69" t="s">
        <v>1042</v>
      </c>
      <c r="C347" s="53" t="s">
        <v>1041</v>
      </c>
      <c r="D347" s="53"/>
      <c r="E347" s="53"/>
      <c r="F347" s="48">
        <f aca="true" t="shared" si="30" ref="F347:H348">F348</f>
        <v>302.9</v>
      </c>
      <c r="G347" s="48">
        <f t="shared" si="30"/>
        <v>0</v>
      </c>
      <c r="H347" s="48">
        <f t="shared" si="30"/>
        <v>0</v>
      </c>
      <c r="I347" s="18"/>
      <c r="J347" s="18"/>
      <c r="K347" s="18"/>
      <c r="M347" s="41"/>
      <c r="O347" s="18"/>
      <c r="P347" s="101"/>
    </row>
    <row r="348" spans="1:16" s="15" customFormat="1" ht="32.25" customHeight="1">
      <c r="A348" s="53" t="s">
        <v>89</v>
      </c>
      <c r="B348" s="52" t="s">
        <v>16</v>
      </c>
      <c r="C348" s="53" t="s">
        <v>1041</v>
      </c>
      <c r="D348" s="53" t="s">
        <v>11</v>
      </c>
      <c r="E348" s="53" t="s">
        <v>420</v>
      </c>
      <c r="F348" s="48">
        <f t="shared" si="30"/>
        <v>302.9</v>
      </c>
      <c r="G348" s="48">
        <f t="shared" si="30"/>
        <v>0</v>
      </c>
      <c r="H348" s="48">
        <f t="shared" si="30"/>
        <v>0</v>
      </c>
      <c r="I348" s="18"/>
      <c r="J348" s="18"/>
      <c r="K348" s="18"/>
      <c r="M348" s="41"/>
      <c r="O348" s="18"/>
      <c r="P348" s="101"/>
    </row>
    <row r="349" spans="1:16" s="15" customFormat="1" ht="33.75" customHeight="1">
      <c r="A349" s="53" t="s">
        <v>505</v>
      </c>
      <c r="B349" s="52" t="s">
        <v>17</v>
      </c>
      <c r="C349" s="53" t="s">
        <v>1041</v>
      </c>
      <c r="D349" s="53" t="s">
        <v>7</v>
      </c>
      <c r="E349" s="53" t="s">
        <v>135</v>
      </c>
      <c r="F349" s="48">
        <v>302.9</v>
      </c>
      <c r="G349" s="48">
        <v>0</v>
      </c>
      <c r="H349" s="48">
        <v>0</v>
      </c>
      <c r="I349" s="18"/>
      <c r="J349" s="18"/>
      <c r="K349" s="18"/>
      <c r="M349" s="41"/>
      <c r="O349" s="18"/>
      <c r="P349" s="101"/>
    </row>
    <row r="350" spans="1:16" s="15" customFormat="1" ht="84" customHeight="1">
      <c r="A350" s="53" t="s">
        <v>506</v>
      </c>
      <c r="B350" s="68" t="s">
        <v>1044</v>
      </c>
      <c r="C350" s="53" t="s">
        <v>1045</v>
      </c>
      <c r="D350" s="53"/>
      <c r="E350" s="53"/>
      <c r="F350" s="48">
        <f aca="true" t="shared" si="31" ref="F350:H351">F351</f>
        <v>3194.1000000000004</v>
      </c>
      <c r="G350" s="48">
        <f t="shared" si="31"/>
        <v>0</v>
      </c>
      <c r="H350" s="48">
        <f t="shared" si="31"/>
        <v>0</v>
      </c>
      <c r="I350" s="18"/>
      <c r="J350" s="18"/>
      <c r="K350" s="18"/>
      <c r="M350" s="41"/>
      <c r="O350" s="18"/>
      <c r="P350" s="101"/>
    </row>
    <row r="351" spans="1:16" s="15" customFormat="1" ht="33.75" customHeight="1">
      <c r="A351" s="53" t="s">
        <v>507</v>
      </c>
      <c r="B351" s="52" t="s">
        <v>16</v>
      </c>
      <c r="C351" s="53" t="s">
        <v>1045</v>
      </c>
      <c r="D351" s="53" t="s">
        <v>11</v>
      </c>
      <c r="E351" s="53" t="s">
        <v>420</v>
      </c>
      <c r="F351" s="48">
        <f t="shared" si="31"/>
        <v>3194.1000000000004</v>
      </c>
      <c r="G351" s="48">
        <f t="shared" si="31"/>
        <v>0</v>
      </c>
      <c r="H351" s="48">
        <f t="shared" si="31"/>
        <v>0</v>
      </c>
      <c r="I351" s="18"/>
      <c r="J351" s="18"/>
      <c r="K351" s="18"/>
      <c r="M351" s="41"/>
      <c r="O351" s="18"/>
      <c r="P351" s="101"/>
    </row>
    <row r="352" spans="1:16" s="15" customFormat="1" ht="33.75" customHeight="1">
      <c r="A352" s="53" t="s">
        <v>374</v>
      </c>
      <c r="B352" s="52" t="s">
        <v>17</v>
      </c>
      <c r="C352" s="53" t="s">
        <v>1045</v>
      </c>
      <c r="D352" s="53" t="s">
        <v>7</v>
      </c>
      <c r="E352" s="53" t="s">
        <v>135</v>
      </c>
      <c r="F352" s="48">
        <f>812.7+2381.4</f>
        <v>3194.1000000000004</v>
      </c>
      <c r="G352" s="48">
        <v>0</v>
      </c>
      <c r="H352" s="48">
        <v>0</v>
      </c>
      <c r="I352" s="18"/>
      <c r="J352" s="18"/>
      <c r="K352" s="18"/>
      <c r="M352" s="41"/>
      <c r="O352" s="18"/>
      <c r="P352" s="106">
        <v>2381.4</v>
      </c>
    </row>
    <row r="353" spans="1:16" s="15" customFormat="1" ht="102" customHeight="1">
      <c r="A353" s="53" t="s">
        <v>917</v>
      </c>
      <c r="B353" s="69" t="s">
        <v>1088</v>
      </c>
      <c r="C353" s="53" t="s">
        <v>1089</v>
      </c>
      <c r="D353" s="53"/>
      <c r="E353" s="53"/>
      <c r="F353" s="48">
        <f aca="true" t="shared" si="32" ref="F353:H354">F354</f>
        <v>12197.8</v>
      </c>
      <c r="G353" s="48">
        <f t="shared" si="32"/>
        <v>0</v>
      </c>
      <c r="H353" s="48">
        <f t="shared" si="32"/>
        <v>0</v>
      </c>
      <c r="I353" s="18"/>
      <c r="J353" s="18"/>
      <c r="K353" s="18"/>
      <c r="M353" s="41"/>
      <c r="O353" s="18"/>
      <c r="P353" s="101"/>
    </row>
    <row r="354" spans="1:16" s="15" customFormat="1" ht="33.75" customHeight="1">
      <c r="A354" s="53" t="s">
        <v>918</v>
      </c>
      <c r="B354" s="52" t="s">
        <v>16</v>
      </c>
      <c r="C354" s="53" t="s">
        <v>1089</v>
      </c>
      <c r="D354" s="53" t="s">
        <v>11</v>
      </c>
      <c r="E354" s="53" t="s">
        <v>422</v>
      </c>
      <c r="F354" s="48">
        <f t="shared" si="32"/>
        <v>12197.8</v>
      </c>
      <c r="G354" s="48">
        <f t="shared" si="32"/>
        <v>0</v>
      </c>
      <c r="H354" s="48">
        <f t="shared" si="32"/>
        <v>0</v>
      </c>
      <c r="I354" s="18"/>
      <c r="J354" s="18"/>
      <c r="K354" s="18"/>
      <c r="M354" s="41"/>
      <c r="O354" s="18"/>
      <c r="P354" s="101"/>
    </row>
    <row r="355" spans="1:16" s="15" customFormat="1" ht="33.75" customHeight="1">
      <c r="A355" s="53" t="s">
        <v>919</v>
      </c>
      <c r="B355" s="52" t="s">
        <v>17</v>
      </c>
      <c r="C355" s="53" t="s">
        <v>1089</v>
      </c>
      <c r="D355" s="53" t="s">
        <v>7</v>
      </c>
      <c r="E355" s="53" t="s">
        <v>1087</v>
      </c>
      <c r="F355" s="48">
        <v>12197.8</v>
      </c>
      <c r="G355" s="48">
        <v>0</v>
      </c>
      <c r="H355" s="48">
        <v>0</v>
      </c>
      <c r="I355" s="18"/>
      <c r="J355" s="18"/>
      <c r="K355" s="18"/>
      <c r="M355" s="41"/>
      <c r="O355" s="18"/>
      <c r="P355" s="106">
        <v>12197.8</v>
      </c>
    </row>
    <row r="356" spans="1:16" s="15" customFormat="1" ht="103.5" customHeight="1">
      <c r="A356" s="53" t="s">
        <v>90</v>
      </c>
      <c r="B356" s="69" t="s">
        <v>1090</v>
      </c>
      <c r="C356" s="53" t="s">
        <v>1089</v>
      </c>
      <c r="D356" s="53"/>
      <c r="E356" s="53"/>
      <c r="F356" s="48">
        <f aca="true" t="shared" si="33" ref="F356:H357">F357</f>
        <v>12.2</v>
      </c>
      <c r="G356" s="48">
        <f t="shared" si="33"/>
        <v>0</v>
      </c>
      <c r="H356" s="48">
        <f t="shared" si="33"/>
        <v>0</v>
      </c>
      <c r="I356" s="18"/>
      <c r="J356" s="18"/>
      <c r="K356" s="18"/>
      <c r="M356" s="41"/>
      <c r="O356" s="18"/>
      <c r="P356" s="101"/>
    </row>
    <row r="357" spans="1:16" s="15" customFormat="1" ht="33.75" customHeight="1">
      <c r="A357" s="53" t="s">
        <v>91</v>
      </c>
      <c r="B357" s="52" t="s">
        <v>16</v>
      </c>
      <c r="C357" s="53" t="s">
        <v>1089</v>
      </c>
      <c r="D357" s="53" t="s">
        <v>11</v>
      </c>
      <c r="E357" s="53" t="s">
        <v>422</v>
      </c>
      <c r="F357" s="48">
        <f t="shared" si="33"/>
        <v>12.2</v>
      </c>
      <c r="G357" s="48">
        <f t="shared" si="33"/>
        <v>0</v>
      </c>
      <c r="H357" s="48">
        <f t="shared" si="33"/>
        <v>0</v>
      </c>
      <c r="I357" s="18"/>
      <c r="J357" s="18"/>
      <c r="K357" s="18"/>
      <c r="M357" s="41"/>
      <c r="O357" s="18"/>
      <c r="P357" s="101"/>
    </row>
    <row r="358" spans="1:16" s="15" customFormat="1" ht="33.75" customHeight="1">
      <c r="A358" s="53" t="s">
        <v>92</v>
      </c>
      <c r="B358" s="52" t="s">
        <v>17</v>
      </c>
      <c r="C358" s="53" t="s">
        <v>1089</v>
      </c>
      <c r="D358" s="53" t="s">
        <v>7</v>
      </c>
      <c r="E358" s="53" t="s">
        <v>1087</v>
      </c>
      <c r="F358" s="48">
        <v>12.2</v>
      </c>
      <c r="G358" s="48">
        <v>0</v>
      </c>
      <c r="H358" s="48">
        <v>0</v>
      </c>
      <c r="I358" s="18"/>
      <c r="J358" s="18"/>
      <c r="K358" s="18"/>
      <c r="M358" s="41"/>
      <c r="O358" s="18"/>
      <c r="P358" s="106">
        <v>12.2</v>
      </c>
    </row>
    <row r="359" spans="1:16" s="15" customFormat="1" ht="42" customHeight="1">
      <c r="A359" s="53" t="s">
        <v>93</v>
      </c>
      <c r="B359" s="70" t="s">
        <v>155</v>
      </c>
      <c r="C359" s="63" t="s">
        <v>210</v>
      </c>
      <c r="D359" s="63"/>
      <c r="E359" s="63"/>
      <c r="F359" s="66">
        <f>F360+F390+F397+F383+F404</f>
        <v>6802.7</v>
      </c>
      <c r="G359" s="66">
        <f>G360+G390+G397+G383+G404</f>
        <v>3965.2999999999997</v>
      </c>
      <c r="H359" s="66">
        <f>H360+H390+H397+H383+H404</f>
        <v>3965.2999999999997</v>
      </c>
      <c r="I359" s="18"/>
      <c r="J359" s="18"/>
      <c r="K359" s="18"/>
      <c r="O359" s="18"/>
      <c r="P359" s="101"/>
    </row>
    <row r="360" spans="1:16" s="15" customFormat="1" ht="58.5" customHeight="1">
      <c r="A360" s="53" t="s">
        <v>94</v>
      </c>
      <c r="B360" s="71" t="s">
        <v>156</v>
      </c>
      <c r="C360" s="65" t="s">
        <v>211</v>
      </c>
      <c r="D360" s="65"/>
      <c r="E360" s="65"/>
      <c r="F360" s="57">
        <f>F377+F380+F361+F368+F374+F371</f>
        <v>5802.599999999999</v>
      </c>
      <c r="G360" s="57">
        <f>G377+G380+G361+G368</f>
        <v>3755.2999999999997</v>
      </c>
      <c r="H360" s="57">
        <f>H377+H380+H361+H368</f>
        <v>3755.2999999999997</v>
      </c>
      <c r="I360" s="18"/>
      <c r="J360" s="18"/>
      <c r="K360" s="18"/>
      <c r="M360" s="41">
        <v>16</v>
      </c>
      <c r="O360" s="18"/>
      <c r="P360" s="101"/>
    </row>
    <row r="361" spans="1:16" s="15" customFormat="1" ht="109.5" customHeight="1">
      <c r="A361" s="53" t="s">
        <v>95</v>
      </c>
      <c r="B361" s="52" t="s">
        <v>600</v>
      </c>
      <c r="C361" s="53" t="s">
        <v>601</v>
      </c>
      <c r="D361" s="53"/>
      <c r="E361" s="53"/>
      <c r="F361" s="48">
        <f>F364+F362+F366</f>
        <v>3405.4999999999995</v>
      </c>
      <c r="G361" s="48">
        <f>G364+G362+G366</f>
        <v>3405.4999999999995</v>
      </c>
      <c r="H361" s="48">
        <f>H364+H362+H366</f>
        <v>3405.4999999999995</v>
      </c>
      <c r="I361" s="18"/>
      <c r="J361" s="18"/>
      <c r="K361" s="18"/>
      <c r="O361" s="18"/>
      <c r="P361" s="101"/>
    </row>
    <row r="362" spans="1:16" s="15" customFormat="1" ht="56.25" customHeight="1">
      <c r="A362" s="53" t="s">
        <v>96</v>
      </c>
      <c r="B362" s="68" t="s">
        <v>46</v>
      </c>
      <c r="C362" s="53" t="s">
        <v>601</v>
      </c>
      <c r="D362" s="53" t="s">
        <v>44</v>
      </c>
      <c r="E362" s="53" t="s">
        <v>418</v>
      </c>
      <c r="F362" s="48">
        <f>F363</f>
        <v>3308.2</v>
      </c>
      <c r="G362" s="48">
        <f>G363</f>
        <v>3308.2</v>
      </c>
      <c r="H362" s="48">
        <f>H363</f>
        <v>3308.2</v>
      </c>
      <c r="I362" s="18"/>
      <c r="J362" s="18"/>
      <c r="K362" s="18"/>
      <c r="M362" s="41">
        <v>-17</v>
      </c>
      <c r="O362" s="18"/>
      <c r="P362" s="101"/>
    </row>
    <row r="363" spans="1:16" s="15" customFormat="1" ht="21.75" customHeight="1">
      <c r="A363" s="53" t="s">
        <v>336</v>
      </c>
      <c r="B363" s="68" t="s">
        <v>47</v>
      </c>
      <c r="C363" s="53" t="s">
        <v>601</v>
      </c>
      <c r="D363" s="53" t="s">
        <v>128</v>
      </c>
      <c r="E363" s="53" t="s">
        <v>167</v>
      </c>
      <c r="F363" s="48">
        <v>3308.2</v>
      </c>
      <c r="G363" s="48">
        <v>3308.2</v>
      </c>
      <c r="H363" s="48">
        <v>3308.2</v>
      </c>
      <c r="I363" s="18"/>
      <c r="J363" s="18"/>
      <c r="K363" s="18"/>
      <c r="O363" s="18"/>
      <c r="P363" s="101"/>
    </row>
    <row r="364" spans="1:16" s="15" customFormat="1" ht="32.25" customHeight="1">
      <c r="A364" s="53" t="s">
        <v>337</v>
      </c>
      <c r="B364" s="52" t="s">
        <v>16</v>
      </c>
      <c r="C364" s="53" t="s">
        <v>601</v>
      </c>
      <c r="D364" s="53" t="s">
        <v>11</v>
      </c>
      <c r="E364" s="53" t="s">
        <v>418</v>
      </c>
      <c r="F364" s="48">
        <f>F365</f>
        <v>97.2</v>
      </c>
      <c r="G364" s="48">
        <f>G365</f>
        <v>97.2</v>
      </c>
      <c r="H364" s="48">
        <f>H365</f>
        <v>97.2</v>
      </c>
      <c r="I364" s="18"/>
      <c r="J364" s="18"/>
      <c r="K364" s="18"/>
      <c r="M364" s="41">
        <v>1</v>
      </c>
      <c r="O364" s="18"/>
      <c r="P364" s="101"/>
    </row>
    <row r="365" spans="1:16" s="15" customFormat="1" ht="31.5" customHeight="1">
      <c r="A365" s="53" t="s">
        <v>338</v>
      </c>
      <c r="B365" s="52" t="s">
        <v>17</v>
      </c>
      <c r="C365" s="53" t="s">
        <v>601</v>
      </c>
      <c r="D365" s="53" t="s">
        <v>7</v>
      </c>
      <c r="E365" s="53" t="s">
        <v>167</v>
      </c>
      <c r="F365" s="48">
        <v>97.2</v>
      </c>
      <c r="G365" s="48">
        <v>97.2</v>
      </c>
      <c r="H365" s="48">
        <v>97.2</v>
      </c>
      <c r="I365" s="18"/>
      <c r="J365" s="18"/>
      <c r="K365" s="18"/>
      <c r="O365" s="18"/>
      <c r="P365" s="101"/>
    </row>
    <row r="366" spans="1:16" s="15" customFormat="1" ht="16.5" customHeight="1">
      <c r="A366" s="53" t="s">
        <v>339</v>
      </c>
      <c r="B366" s="68" t="s">
        <v>119</v>
      </c>
      <c r="C366" s="53" t="s">
        <v>601</v>
      </c>
      <c r="D366" s="53" t="s">
        <v>122</v>
      </c>
      <c r="E366" s="53" t="s">
        <v>418</v>
      </c>
      <c r="F366" s="48">
        <f>F367</f>
        <v>0.1</v>
      </c>
      <c r="G366" s="48">
        <f>G367</f>
        <v>0.1</v>
      </c>
      <c r="H366" s="48">
        <f>H367</f>
        <v>0.1</v>
      </c>
      <c r="I366" s="18"/>
      <c r="J366" s="18"/>
      <c r="K366" s="18"/>
      <c r="O366" s="18"/>
      <c r="P366" s="101"/>
    </row>
    <row r="367" spans="1:16" s="15" customFormat="1" ht="19.5" customHeight="1">
      <c r="A367" s="53" t="s">
        <v>340</v>
      </c>
      <c r="B367" s="68" t="s">
        <v>120</v>
      </c>
      <c r="C367" s="53" t="s">
        <v>601</v>
      </c>
      <c r="D367" s="53" t="s">
        <v>123</v>
      </c>
      <c r="E367" s="53" t="s">
        <v>167</v>
      </c>
      <c r="F367" s="48">
        <v>0.1</v>
      </c>
      <c r="G367" s="48">
        <v>0.1</v>
      </c>
      <c r="H367" s="48">
        <v>0.1</v>
      </c>
      <c r="I367" s="18"/>
      <c r="J367" s="18"/>
      <c r="K367" s="18"/>
      <c r="O367" s="18"/>
      <c r="P367" s="101"/>
    </row>
    <row r="368" spans="1:16" s="15" customFormat="1" ht="146.25" customHeight="1">
      <c r="A368" s="53" t="s">
        <v>341</v>
      </c>
      <c r="B368" s="52" t="s">
        <v>430</v>
      </c>
      <c r="C368" s="53" t="s">
        <v>451</v>
      </c>
      <c r="D368" s="18"/>
      <c r="E368" s="53"/>
      <c r="F368" s="48">
        <f aca="true" t="shared" si="34" ref="F368:H375">SUM(F369)</f>
        <v>145.8</v>
      </c>
      <c r="G368" s="48">
        <f t="shared" si="34"/>
        <v>145.8</v>
      </c>
      <c r="H368" s="48">
        <f t="shared" si="34"/>
        <v>145.8</v>
      </c>
      <c r="I368" s="18"/>
      <c r="J368" s="18"/>
      <c r="K368" s="18"/>
      <c r="O368" s="18"/>
      <c r="P368" s="101"/>
    </row>
    <row r="369" spans="1:16" s="15" customFormat="1" ht="57" customHeight="1">
      <c r="A369" s="53" t="s">
        <v>342</v>
      </c>
      <c r="B369" s="68" t="s">
        <v>46</v>
      </c>
      <c r="C369" s="53" t="s">
        <v>451</v>
      </c>
      <c r="D369" s="53" t="s">
        <v>44</v>
      </c>
      <c r="E369" s="53" t="s">
        <v>418</v>
      </c>
      <c r="F369" s="48">
        <f t="shared" si="34"/>
        <v>145.8</v>
      </c>
      <c r="G369" s="48">
        <f t="shared" si="34"/>
        <v>145.8</v>
      </c>
      <c r="H369" s="48">
        <f t="shared" si="34"/>
        <v>145.8</v>
      </c>
      <c r="I369" s="18"/>
      <c r="J369" s="18"/>
      <c r="K369" s="18"/>
      <c r="O369" s="18"/>
      <c r="P369" s="101"/>
    </row>
    <row r="370" spans="1:16" s="15" customFormat="1" ht="21" customHeight="1">
      <c r="A370" s="53" t="s">
        <v>343</v>
      </c>
      <c r="B370" s="68" t="s">
        <v>47</v>
      </c>
      <c r="C370" s="53" t="s">
        <v>451</v>
      </c>
      <c r="D370" s="53" t="s">
        <v>128</v>
      </c>
      <c r="E370" s="53" t="s">
        <v>167</v>
      </c>
      <c r="F370" s="48">
        <v>145.8</v>
      </c>
      <c r="G370" s="48">
        <v>145.8</v>
      </c>
      <c r="H370" s="48">
        <v>145.8</v>
      </c>
      <c r="I370" s="18"/>
      <c r="J370" s="18"/>
      <c r="K370" s="18"/>
      <c r="M370" s="41">
        <v>210.3</v>
      </c>
      <c r="O370" s="18"/>
      <c r="P370" s="101"/>
    </row>
    <row r="371" spans="1:16" s="15" customFormat="1" ht="126" customHeight="1">
      <c r="A371" s="53" t="s">
        <v>97</v>
      </c>
      <c r="B371" s="52" t="s">
        <v>1084</v>
      </c>
      <c r="C371" s="53" t="s">
        <v>1083</v>
      </c>
      <c r="D371" s="53"/>
      <c r="E371" s="53"/>
      <c r="F371" s="48">
        <f t="shared" si="34"/>
        <v>700</v>
      </c>
      <c r="G371" s="48">
        <f t="shared" si="34"/>
        <v>0</v>
      </c>
      <c r="H371" s="48">
        <f t="shared" si="34"/>
        <v>0</v>
      </c>
      <c r="I371" s="18"/>
      <c r="J371" s="18"/>
      <c r="K371" s="18"/>
      <c r="M371" s="41"/>
      <c r="O371" s="18"/>
      <c r="P371" s="101"/>
    </row>
    <row r="372" spans="1:16" s="15" customFormat="1" ht="58.5" customHeight="1">
      <c r="A372" s="53" t="s">
        <v>98</v>
      </c>
      <c r="B372" s="68" t="s">
        <v>46</v>
      </c>
      <c r="C372" s="53" t="s">
        <v>1083</v>
      </c>
      <c r="D372" s="53" t="s">
        <v>44</v>
      </c>
      <c r="E372" s="53" t="s">
        <v>418</v>
      </c>
      <c r="F372" s="48">
        <f t="shared" si="34"/>
        <v>700</v>
      </c>
      <c r="G372" s="48">
        <f t="shared" si="34"/>
        <v>0</v>
      </c>
      <c r="H372" s="48">
        <f t="shared" si="34"/>
        <v>0</v>
      </c>
      <c r="I372" s="18"/>
      <c r="J372" s="18"/>
      <c r="K372" s="18"/>
      <c r="M372" s="41"/>
      <c r="O372" s="18"/>
      <c r="P372" s="101"/>
    </row>
    <row r="373" spans="1:16" s="15" customFormat="1" ht="21" customHeight="1">
      <c r="A373" s="53" t="s">
        <v>99</v>
      </c>
      <c r="B373" s="68" t="s">
        <v>47</v>
      </c>
      <c r="C373" s="53" t="s">
        <v>1083</v>
      </c>
      <c r="D373" s="53" t="s">
        <v>128</v>
      </c>
      <c r="E373" s="53" t="s">
        <v>167</v>
      </c>
      <c r="F373" s="48">
        <v>700</v>
      </c>
      <c r="G373" s="48">
        <v>0</v>
      </c>
      <c r="H373" s="48">
        <v>0</v>
      </c>
      <c r="I373" s="18"/>
      <c r="J373" s="18"/>
      <c r="K373" s="18"/>
      <c r="M373" s="41"/>
      <c r="O373" s="18"/>
      <c r="P373" s="106">
        <v>700</v>
      </c>
    </row>
    <row r="374" spans="1:16" s="15" customFormat="1" ht="126" customHeight="1">
      <c r="A374" s="53" t="s">
        <v>720</v>
      </c>
      <c r="B374" s="92" t="s">
        <v>1067</v>
      </c>
      <c r="C374" s="88" t="s">
        <v>1066</v>
      </c>
      <c r="D374" s="53"/>
      <c r="E374" s="53"/>
      <c r="F374" s="48">
        <f t="shared" si="34"/>
        <v>1347.3</v>
      </c>
      <c r="G374" s="48">
        <f t="shared" si="34"/>
        <v>0</v>
      </c>
      <c r="H374" s="48">
        <f t="shared" si="34"/>
        <v>0</v>
      </c>
      <c r="I374" s="18"/>
      <c r="J374" s="18"/>
      <c r="K374" s="18"/>
      <c r="M374" s="41"/>
      <c r="O374" s="18"/>
      <c r="P374" s="101"/>
    </row>
    <row r="375" spans="1:16" s="15" customFormat="1" ht="21" customHeight="1">
      <c r="A375" s="53" t="s">
        <v>721</v>
      </c>
      <c r="B375" s="68" t="s">
        <v>14</v>
      </c>
      <c r="C375" s="88" t="s">
        <v>1066</v>
      </c>
      <c r="D375" s="53" t="s">
        <v>19</v>
      </c>
      <c r="E375" s="53" t="s">
        <v>418</v>
      </c>
      <c r="F375" s="48">
        <f t="shared" si="34"/>
        <v>1347.3</v>
      </c>
      <c r="G375" s="48">
        <f t="shared" si="34"/>
        <v>0</v>
      </c>
      <c r="H375" s="48">
        <f t="shared" si="34"/>
        <v>0</v>
      </c>
      <c r="I375" s="18"/>
      <c r="J375" s="18"/>
      <c r="K375" s="18"/>
      <c r="M375" s="41"/>
      <c r="O375" s="18"/>
      <c r="P375" s="101"/>
    </row>
    <row r="376" spans="1:16" s="15" customFormat="1" ht="21" customHeight="1">
      <c r="A376" s="53" t="s">
        <v>920</v>
      </c>
      <c r="B376" s="68" t="s">
        <v>15</v>
      </c>
      <c r="C376" s="88" t="s">
        <v>1066</v>
      </c>
      <c r="D376" s="53" t="s">
        <v>18</v>
      </c>
      <c r="E376" s="53" t="s">
        <v>1065</v>
      </c>
      <c r="F376" s="48">
        <v>1347.3</v>
      </c>
      <c r="G376" s="48">
        <v>0</v>
      </c>
      <c r="H376" s="48">
        <v>0</v>
      </c>
      <c r="I376" s="18"/>
      <c r="J376" s="18"/>
      <c r="K376" s="18"/>
      <c r="M376" s="41"/>
      <c r="O376" s="18"/>
      <c r="P376" s="106">
        <v>1347.3</v>
      </c>
    </row>
    <row r="377" spans="1:16" s="15" customFormat="1" ht="108.75" customHeight="1">
      <c r="A377" s="53" t="s">
        <v>921</v>
      </c>
      <c r="B377" s="52" t="s">
        <v>157</v>
      </c>
      <c r="C377" s="53" t="s">
        <v>598</v>
      </c>
      <c r="D377" s="53"/>
      <c r="E377" s="53"/>
      <c r="F377" s="48">
        <f aca="true" t="shared" si="35" ref="F377:H378">F378</f>
        <v>110</v>
      </c>
      <c r="G377" s="48">
        <f t="shared" si="35"/>
        <v>110</v>
      </c>
      <c r="H377" s="48">
        <f t="shared" si="35"/>
        <v>110</v>
      </c>
      <c r="I377" s="18"/>
      <c r="J377" s="18"/>
      <c r="K377" s="18"/>
      <c r="O377" s="18"/>
      <c r="P377" s="101"/>
    </row>
    <row r="378" spans="1:16" s="15" customFormat="1" ht="30.75" customHeight="1">
      <c r="A378" s="53" t="s">
        <v>922</v>
      </c>
      <c r="B378" s="52" t="s">
        <v>16</v>
      </c>
      <c r="C378" s="53" t="s">
        <v>598</v>
      </c>
      <c r="D378" s="53" t="s">
        <v>11</v>
      </c>
      <c r="E378" s="53" t="s">
        <v>418</v>
      </c>
      <c r="F378" s="48">
        <f t="shared" si="35"/>
        <v>110</v>
      </c>
      <c r="G378" s="48">
        <f t="shared" si="35"/>
        <v>110</v>
      </c>
      <c r="H378" s="48">
        <f t="shared" si="35"/>
        <v>110</v>
      </c>
      <c r="I378" s="18"/>
      <c r="J378" s="18"/>
      <c r="K378" s="18"/>
      <c r="O378" s="18"/>
      <c r="P378" s="101"/>
    </row>
    <row r="379" spans="1:16" s="15" customFormat="1" ht="33" customHeight="1">
      <c r="A379" s="53" t="s">
        <v>508</v>
      </c>
      <c r="B379" s="52" t="s">
        <v>17</v>
      </c>
      <c r="C379" s="53" t="s">
        <v>598</v>
      </c>
      <c r="D379" s="53" t="s">
        <v>7</v>
      </c>
      <c r="E379" s="53" t="s">
        <v>167</v>
      </c>
      <c r="F379" s="48">
        <v>110</v>
      </c>
      <c r="G379" s="48">
        <v>110</v>
      </c>
      <c r="H379" s="48">
        <v>110</v>
      </c>
      <c r="I379" s="18"/>
      <c r="J379" s="18"/>
      <c r="K379" s="18"/>
      <c r="O379" s="18"/>
      <c r="P379" s="101"/>
    </row>
    <row r="380" spans="1:16" s="15" customFormat="1" ht="126" customHeight="1">
      <c r="A380" s="53" t="s">
        <v>809</v>
      </c>
      <c r="B380" s="52" t="s">
        <v>1</v>
      </c>
      <c r="C380" s="53" t="s">
        <v>599</v>
      </c>
      <c r="D380" s="53"/>
      <c r="E380" s="53"/>
      <c r="F380" s="48">
        <f aca="true" t="shared" si="36" ref="F380:H381">F381</f>
        <v>94</v>
      </c>
      <c r="G380" s="48">
        <f t="shared" si="36"/>
        <v>94</v>
      </c>
      <c r="H380" s="48">
        <f t="shared" si="36"/>
        <v>94</v>
      </c>
      <c r="I380" s="18"/>
      <c r="J380" s="18"/>
      <c r="K380" s="18"/>
      <c r="O380" s="18"/>
      <c r="P380" s="101"/>
    </row>
    <row r="381" spans="1:16" s="15" customFormat="1" ht="35.25" customHeight="1">
      <c r="A381" s="53" t="s">
        <v>810</v>
      </c>
      <c r="B381" s="52" t="s">
        <v>16</v>
      </c>
      <c r="C381" s="53" t="s">
        <v>599</v>
      </c>
      <c r="D381" s="53" t="s">
        <v>11</v>
      </c>
      <c r="E381" s="53" t="s">
        <v>418</v>
      </c>
      <c r="F381" s="48">
        <f t="shared" si="36"/>
        <v>94</v>
      </c>
      <c r="G381" s="48">
        <f t="shared" si="36"/>
        <v>94</v>
      </c>
      <c r="H381" s="48">
        <f t="shared" si="36"/>
        <v>94</v>
      </c>
      <c r="I381" s="18"/>
      <c r="J381" s="18"/>
      <c r="K381" s="18"/>
      <c r="O381" s="18"/>
      <c r="P381" s="101"/>
    </row>
    <row r="382" spans="1:16" s="15" customFormat="1" ht="32.25" customHeight="1">
      <c r="A382" s="53" t="s">
        <v>811</v>
      </c>
      <c r="B382" s="52" t="s">
        <v>17</v>
      </c>
      <c r="C382" s="53" t="s">
        <v>599</v>
      </c>
      <c r="D382" s="53" t="s">
        <v>7</v>
      </c>
      <c r="E382" s="53" t="s">
        <v>167</v>
      </c>
      <c r="F382" s="48">
        <v>94</v>
      </c>
      <c r="G382" s="48">
        <v>94</v>
      </c>
      <c r="H382" s="48">
        <v>94</v>
      </c>
      <c r="I382" s="18"/>
      <c r="J382" s="18"/>
      <c r="K382" s="18">
        <v>0.3</v>
      </c>
      <c r="O382" s="18"/>
      <c r="P382" s="101"/>
    </row>
    <row r="383" spans="1:16" s="15" customFormat="1" ht="32.25" customHeight="1">
      <c r="A383" s="53" t="s">
        <v>812</v>
      </c>
      <c r="B383" s="81" t="s">
        <v>212</v>
      </c>
      <c r="C383" s="65" t="s">
        <v>213</v>
      </c>
      <c r="D383" s="65"/>
      <c r="E383" s="65"/>
      <c r="F383" s="57">
        <f>SUM(F384+F387)</f>
        <v>70.1</v>
      </c>
      <c r="G383" s="57">
        <f>SUM(G384)</f>
        <v>70</v>
      </c>
      <c r="H383" s="57">
        <f>SUM(H384)</f>
        <v>70</v>
      </c>
      <c r="I383" s="18"/>
      <c r="J383" s="18"/>
      <c r="K383" s="18">
        <v>-34</v>
      </c>
      <c r="M383" s="41">
        <v>26</v>
      </c>
      <c r="O383" s="18"/>
      <c r="P383" s="101"/>
    </row>
    <row r="384" spans="1:16" s="15" customFormat="1" ht="89.25">
      <c r="A384" s="53" t="s">
        <v>722</v>
      </c>
      <c r="B384" s="52" t="s">
        <v>390</v>
      </c>
      <c r="C384" s="53" t="s">
        <v>602</v>
      </c>
      <c r="D384" s="53"/>
      <c r="E384" s="53"/>
      <c r="F384" s="48">
        <f aca="true" t="shared" si="37" ref="F384:H388">SUM(F385)</f>
        <v>70</v>
      </c>
      <c r="G384" s="48">
        <f t="shared" si="37"/>
        <v>70</v>
      </c>
      <c r="H384" s="48">
        <f t="shared" si="37"/>
        <v>70</v>
      </c>
      <c r="I384" s="18"/>
      <c r="J384" s="18"/>
      <c r="K384" s="18"/>
      <c r="O384" s="18"/>
      <c r="P384" s="101"/>
    </row>
    <row r="385" spans="1:16" s="15" customFormat="1" ht="33.75" customHeight="1">
      <c r="A385" s="53" t="s">
        <v>723</v>
      </c>
      <c r="B385" s="52" t="s">
        <v>16</v>
      </c>
      <c r="C385" s="53" t="s">
        <v>602</v>
      </c>
      <c r="D385" s="53" t="s">
        <v>11</v>
      </c>
      <c r="E385" s="53" t="s">
        <v>418</v>
      </c>
      <c r="F385" s="48">
        <f t="shared" si="37"/>
        <v>70</v>
      </c>
      <c r="G385" s="48">
        <f t="shared" si="37"/>
        <v>70</v>
      </c>
      <c r="H385" s="48">
        <f>SUM(H386)</f>
        <v>70</v>
      </c>
      <c r="I385" s="18"/>
      <c r="J385" s="18"/>
      <c r="K385" s="18"/>
      <c r="O385" s="18"/>
      <c r="P385" s="101"/>
    </row>
    <row r="386" spans="1:16" s="16" customFormat="1" ht="31.5" customHeight="1">
      <c r="A386" s="53" t="s">
        <v>509</v>
      </c>
      <c r="B386" s="52" t="s">
        <v>17</v>
      </c>
      <c r="C386" s="53" t="s">
        <v>602</v>
      </c>
      <c r="D386" s="53" t="s">
        <v>7</v>
      </c>
      <c r="E386" s="53" t="s">
        <v>167</v>
      </c>
      <c r="F386" s="48">
        <v>70</v>
      </c>
      <c r="G386" s="48">
        <v>70</v>
      </c>
      <c r="H386" s="48">
        <v>70</v>
      </c>
      <c r="I386" s="22"/>
      <c r="J386" s="22"/>
      <c r="K386" s="22"/>
      <c r="O386" s="22"/>
      <c r="P386" s="105"/>
    </row>
    <row r="387" spans="1:16" s="16" customFormat="1" ht="108.75" customHeight="1">
      <c r="A387" s="53" t="s">
        <v>510</v>
      </c>
      <c r="B387" s="92" t="s">
        <v>1086</v>
      </c>
      <c r="C387" s="88" t="s">
        <v>1085</v>
      </c>
      <c r="D387" s="53"/>
      <c r="E387" s="53"/>
      <c r="F387" s="48">
        <f t="shared" si="37"/>
        <v>0.1</v>
      </c>
      <c r="G387" s="48">
        <f t="shared" si="37"/>
        <v>0</v>
      </c>
      <c r="H387" s="48">
        <f t="shared" si="37"/>
        <v>0</v>
      </c>
      <c r="I387" s="22"/>
      <c r="J387" s="22"/>
      <c r="K387" s="22"/>
      <c r="O387" s="22"/>
      <c r="P387" s="105"/>
    </row>
    <row r="388" spans="1:16" s="16" customFormat="1" ht="31.5" customHeight="1">
      <c r="A388" s="53" t="s">
        <v>511</v>
      </c>
      <c r="B388" s="52" t="s">
        <v>16</v>
      </c>
      <c r="C388" s="88" t="s">
        <v>1085</v>
      </c>
      <c r="D388" s="53" t="s">
        <v>11</v>
      </c>
      <c r="E388" s="53" t="s">
        <v>418</v>
      </c>
      <c r="F388" s="48">
        <f t="shared" si="37"/>
        <v>0.1</v>
      </c>
      <c r="G388" s="48">
        <f t="shared" si="37"/>
        <v>0</v>
      </c>
      <c r="H388" s="48">
        <f>SUM(H389)</f>
        <v>0</v>
      </c>
      <c r="I388" s="22"/>
      <c r="J388" s="22"/>
      <c r="K388" s="22"/>
      <c r="O388" s="22"/>
      <c r="P388" s="105"/>
    </row>
    <row r="389" spans="1:16" s="16" customFormat="1" ht="31.5" customHeight="1">
      <c r="A389" s="53" t="s">
        <v>512</v>
      </c>
      <c r="B389" s="52" t="s">
        <v>17</v>
      </c>
      <c r="C389" s="88" t="s">
        <v>1085</v>
      </c>
      <c r="D389" s="53" t="s">
        <v>7</v>
      </c>
      <c r="E389" s="53" t="s">
        <v>1065</v>
      </c>
      <c r="F389" s="48">
        <v>0.1</v>
      </c>
      <c r="G389" s="48">
        <v>0</v>
      </c>
      <c r="H389" s="48">
        <v>0</v>
      </c>
      <c r="I389" s="22"/>
      <c r="J389" s="22"/>
      <c r="K389" s="22"/>
      <c r="O389" s="22"/>
      <c r="P389" s="107">
        <v>0.1</v>
      </c>
    </row>
    <row r="390" spans="1:16" s="14" customFormat="1" ht="32.25" customHeight="1">
      <c r="A390" s="53" t="s">
        <v>344</v>
      </c>
      <c r="B390" s="71" t="s">
        <v>166</v>
      </c>
      <c r="C390" s="65" t="s">
        <v>214</v>
      </c>
      <c r="D390" s="65"/>
      <c r="E390" s="65"/>
      <c r="F390" s="57">
        <f>F391+F394</f>
        <v>50</v>
      </c>
      <c r="G390" s="57">
        <f>G391+G394</f>
        <v>50</v>
      </c>
      <c r="H390" s="57">
        <f>H391+H394</f>
        <v>50</v>
      </c>
      <c r="I390" s="21"/>
      <c r="J390" s="21"/>
      <c r="K390" s="21">
        <v>37</v>
      </c>
      <c r="M390" s="42">
        <v>30</v>
      </c>
      <c r="O390" s="21"/>
      <c r="P390" s="108"/>
    </row>
    <row r="391" spans="1:16" s="14" customFormat="1" ht="69" customHeight="1">
      <c r="A391" s="53" t="s">
        <v>345</v>
      </c>
      <c r="B391" s="52" t="s">
        <v>4</v>
      </c>
      <c r="C391" s="53" t="s">
        <v>603</v>
      </c>
      <c r="D391" s="53"/>
      <c r="E391" s="53"/>
      <c r="F391" s="48">
        <f aca="true" t="shared" si="38" ref="F391:H395">F392</f>
        <v>40</v>
      </c>
      <c r="G391" s="48">
        <f t="shared" si="38"/>
        <v>40</v>
      </c>
      <c r="H391" s="48">
        <f t="shared" si="38"/>
        <v>40</v>
      </c>
      <c r="I391" s="21"/>
      <c r="J391" s="21"/>
      <c r="K391" s="21"/>
      <c r="O391" s="21"/>
      <c r="P391" s="108"/>
    </row>
    <row r="392" spans="1:16" s="14" customFormat="1" ht="25.5">
      <c r="A392" s="53" t="s">
        <v>100</v>
      </c>
      <c r="B392" s="52" t="s">
        <v>16</v>
      </c>
      <c r="C392" s="53" t="s">
        <v>603</v>
      </c>
      <c r="D392" s="53" t="s">
        <v>11</v>
      </c>
      <c r="E392" s="53" t="s">
        <v>418</v>
      </c>
      <c r="F392" s="48">
        <f t="shared" si="38"/>
        <v>40</v>
      </c>
      <c r="G392" s="48">
        <f t="shared" si="38"/>
        <v>40</v>
      </c>
      <c r="H392" s="48">
        <f t="shared" si="38"/>
        <v>40</v>
      </c>
      <c r="I392" s="21"/>
      <c r="J392" s="21"/>
      <c r="K392" s="21"/>
      <c r="O392" s="21"/>
      <c r="P392" s="108"/>
    </row>
    <row r="393" spans="1:16" s="14" customFormat="1" ht="34.5" customHeight="1">
      <c r="A393" s="53" t="s">
        <v>724</v>
      </c>
      <c r="B393" s="52" t="s">
        <v>17</v>
      </c>
      <c r="C393" s="53" t="s">
        <v>603</v>
      </c>
      <c r="D393" s="53" t="s">
        <v>7</v>
      </c>
      <c r="E393" s="53" t="s">
        <v>168</v>
      </c>
      <c r="F393" s="48">
        <v>40</v>
      </c>
      <c r="G393" s="48">
        <v>40</v>
      </c>
      <c r="H393" s="48">
        <v>40</v>
      </c>
      <c r="I393" s="21"/>
      <c r="J393" s="21"/>
      <c r="K393" s="21">
        <v>-10</v>
      </c>
      <c r="M393" s="42">
        <v>-10</v>
      </c>
      <c r="O393" s="21"/>
      <c r="P393" s="108"/>
    </row>
    <row r="394" spans="1:16" s="15" customFormat="1" ht="82.5" customHeight="1">
      <c r="A394" s="53" t="s">
        <v>923</v>
      </c>
      <c r="B394" s="52" t="s">
        <v>391</v>
      </c>
      <c r="C394" s="53" t="s">
        <v>604</v>
      </c>
      <c r="D394" s="53"/>
      <c r="E394" s="53"/>
      <c r="F394" s="48">
        <f t="shared" si="38"/>
        <v>10</v>
      </c>
      <c r="G394" s="48">
        <f t="shared" si="38"/>
        <v>10</v>
      </c>
      <c r="H394" s="48">
        <f t="shared" si="38"/>
        <v>10</v>
      </c>
      <c r="I394" s="18"/>
      <c r="J394" s="18"/>
      <c r="K394" s="18"/>
      <c r="O394" s="18"/>
      <c r="P394" s="101"/>
    </row>
    <row r="395" spans="1:16" s="15" customFormat="1" ht="29.25" customHeight="1">
      <c r="A395" s="53" t="s">
        <v>924</v>
      </c>
      <c r="B395" s="52" t="s">
        <v>16</v>
      </c>
      <c r="C395" s="53" t="s">
        <v>604</v>
      </c>
      <c r="D395" s="53" t="s">
        <v>11</v>
      </c>
      <c r="E395" s="53" t="s">
        <v>418</v>
      </c>
      <c r="F395" s="48">
        <f t="shared" si="38"/>
        <v>10</v>
      </c>
      <c r="G395" s="48">
        <f t="shared" si="38"/>
        <v>10</v>
      </c>
      <c r="H395" s="48">
        <f t="shared" si="38"/>
        <v>10</v>
      </c>
      <c r="I395" s="18"/>
      <c r="J395" s="18"/>
      <c r="K395" s="18"/>
      <c r="O395" s="18"/>
      <c r="P395" s="101"/>
    </row>
    <row r="396" spans="1:16" s="15" customFormat="1" ht="33.75" customHeight="1">
      <c r="A396" s="53" t="s">
        <v>725</v>
      </c>
      <c r="B396" s="52" t="s">
        <v>17</v>
      </c>
      <c r="C396" s="53" t="s">
        <v>604</v>
      </c>
      <c r="D396" s="53" t="s">
        <v>7</v>
      </c>
      <c r="E396" s="53" t="s">
        <v>168</v>
      </c>
      <c r="F396" s="48">
        <v>10</v>
      </c>
      <c r="G396" s="48">
        <v>10</v>
      </c>
      <c r="H396" s="48">
        <v>10</v>
      </c>
      <c r="I396" s="18"/>
      <c r="J396" s="18"/>
      <c r="K396" s="18"/>
      <c r="O396" s="18"/>
      <c r="P396" s="101"/>
    </row>
    <row r="397" spans="1:16" s="15" customFormat="1" ht="58.5" customHeight="1">
      <c r="A397" s="53" t="s">
        <v>726</v>
      </c>
      <c r="B397" s="71" t="s">
        <v>2</v>
      </c>
      <c r="C397" s="65" t="s">
        <v>215</v>
      </c>
      <c r="D397" s="65"/>
      <c r="E397" s="65"/>
      <c r="F397" s="57">
        <f>F398+F401</f>
        <v>810</v>
      </c>
      <c r="G397" s="57">
        <f>G398+G401</f>
        <v>20</v>
      </c>
      <c r="H397" s="57">
        <f>H398+H401</f>
        <v>20</v>
      </c>
      <c r="I397" s="18"/>
      <c r="J397" s="18"/>
      <c r="K397" s="18">
        <v>-10</v>
      </c>
      <c r="M397" s="41">
        <v>-10</v>
      </c>
      <c r="O397" s="18"/>
      <c r="P397" s="101"/>
    </row>
    <row r="398" spans="1:16" s="15" customFormat="1" ht="118.5" customHeight="1">
      <c r="A398" s="53" t="s">
        <v>925</v>
      </c>
      <c r="B398" s="52" t="s">
        <v>165</v>
      </c>
      <c r="C398" s="53" t="s">
        <v>605</v>
      </c>
      <c r="D398" s="53"/>
      <c r="E398" s="53"/>
      <c r="F398" s="48">
        <f aca="true" t="shared" si="39" ref="F398:H402">F399</f>
        <v>800</v>
      </c>
      <c r="G398" s="48">
        <f t="shared" si="39"/>
        <v>10</v>
      </c>
      <c r="H398" s="48">
        <f t="shared" si="39"/>
        <v>10</v>
      </c>
      <c r="I398" s="18"/>
      <c r="J398" s="18"/>
      <c r="K398" s="18"/>
      <c r="O398" s="18"/>
      <c r="P398" s="101"/>
    </row>
    <row r="399" spans="1:16" s="15" customFormat="1" ht="31.5" customHeight="1">
      <c r="A399" s="53" t="s">
        <v>926</v>
      </c>
      <c r="B399" s="52" t="s">
        <v>16</v>
      </c>
      <c r="C399" s="53" t="s">
        <v>605</v>
      </c>
      <c r="D399" s="53" t="s">
        <v>11</v>
      </c>
      <c r="E399" s="53" t="s">
        <v>418</v>
      </c>
      <c r="F399" s="48">
        <f t="shared" si="39"/>
        <v>800</v>
      </c>
      <c r="G399" s="48">
        <f t="shared" si="39"/>
        <v>10</v>
      </c>
      <c r="H399" s="48">
        <f t="shared" si="39"/>
        <v>10</v>
      </c>
      <c r="I399" s="18"/>
      <c r="J399" s="18"/>
      <c r="K399" s="18"/>
      <c r="O399" s="18"/>
      <c r="P399" s="101"/>
    </row>
    <row r="400" spans="1:16" s="15" customFormat="1" ht="29.25" customHeight="1">
      <c r="A400" s="53" t="s">
        <v>927</v>
      </c>
      <c r="B400" s="52" t="s">
        <v>17</v>
      </c>
      <c r="C400" s="53" t="s">
        <v>605</v>
      </c>
      <c r="D400" s="53" t="s">
        <v>7</v>
      </c>
      <c r="E400" s="53" t="s">
        <v>167</v>
      </c>
      <c r="F400" s="48">
        <v>800</v>
      </c>
      <c r="G400" s="48">
        <v>10</v>
      </c>
      <c r="H400" s="48">
        <v>10</v>
      </c>
      <c r="I400" s="18"/>
      <c r="J400" s="18"/>
      <c r="K400" s="18">
        <v>-10</v>
      </c>
      <c r="M400" s="41">
        <v>-10</v>
      </c>
      <c r="O400" s="18"/>
      <c r="P400" s="101"/>
    </row>
    <row r="401" spans="1:16" s="15" customFormat="1" ht="127.5">
      <c r="A401" s="53" t="s">
        <v>813</v>
      </c>
      <c r="B401" s="52" t="s">
        <v>639</v>
      </c>
      <c r="C401" s="53" t="s">
        <v>606</v>
      </c>
      <c r="D401" s="53"/>
      <c r="E401" s="53"/>
      <c r="F401" s="48">
        <f t="shared" si="39"/>
        <v>10</v>
      </c>
      <c r="G401" s="48">
        <f t="shared" si="39"/>
        <v>10</v>
      </c>
      <c r="H401" s="48">
        <f t="shared" si="39"/>
        <v>10</v>
      </c>
      <c r="I401" s="18"/>
      <c r="J401" s="18"/>
      <c r="K401" s="18"/>
      <c r="O401" s="18"/>
      <c r="P401" s="101"/>
    </row>
    <row r="402" spans="1:16" s="15" customFormat="1" ht="30.75" customHeight="1">
      <c r="A402" s="53" t="s">
        <v>814</v>
      </c>
      <c r="B402" s="52" t="s">
        <v>16</v>
      </c>
      <c r="C402" s="53" t="s">
        <v>606</v>
      </c>
      <c r="D402" s="53" t="s">
        <v>11</v>
      </c>
      <c r="E402" s="53" t="s">
        <v>418</v>
      </c>
      <c r="F402" s="48">
        <f t="shared" si="39"/>
        <v>10</v>
      </c>
      <c r="G402" s="48">
        <f t="shared" si="39"/>
        <v>10</v>
      </c>
      <c r="H402" s="48">
        <f t="shared" si="39"/>
        <v>10</v>
      </c>
      <c r="I402" s="18"/>
      <c r="J402" s="18"/>
      <c r="K402" s="18"/>
      <c r="O402" s="18"/>
      <c r="P402" s="101"/>
    </row>
    <row r="403" spans="1:16" s="15" customFormat="1" ht="30.75" customHeight="1">
      <c r="A403" s="53" t="s">
        <v>815</v>
      </c>
      <c r="B403" s="52" t="s">
        <v>17</v>
      </c>
      <c r="C403" s="53" t="s">
        <v>606</v>
      </c>
      <c r="D403" s="53" t="s">
        <v>7</v>
      </c>
      <c r="E403" s="53" t="s">
        <v>167</v>
      </c>
      <c r="F403" s="48">
        <v>10</v>
      </c>
      <c r="G403" s="48">
        <v>10</v>
      </c>
      <c r="H403" s="48">
        <v>10</v>
      </c>
      <c r="I403" s="18"/>
      <c r="J403" s="18"/>
      <c r="K403" s="18"/>
      <c r="O403" s="18"/>
      <c r="P403" s="101"/>
    </row>
    <row r="404" spans="1:16" s="15" customFormat="1" ht="35.25" customHeight="1">
      <c r="A404" s="53" t="s">
        <v>816</v>
      </c>
      <c r="B404" s="69" t="s">
        <v>648</v>
      </c>
      <c r="C404" s="53" t="s">
        <v>645</v>
      </c>
      <c r="D404" s="53"/>
      <c r="E404" s="53"/>
      <c r="F404" s="48">
        <f>F405+F408</f>
        <v>70</v>
      </c>
      <c r="G404" s="48">
        <f>G405+G408</f>
        <v>70</v>
      </c>
      <c r="H404" s="48">
        <f>H405+H408</f>
        <v>70</v>
      </c>
      <c r="I404" s="18"/>
      <c r="J404" s="18"/>
      <c r="K404" s="18"/>
      <c r="L404" s="15">
        <v>30</v>
      </c>
      <c r="M404" s="41">
        <v>30</v>
      </c>
      <c r="O404" s="18"/>
      <c r="P404" s="101"/>
    </row>
    <row r="405" spans="1:16" s="15" customFormat="1" ht="99" customHeight="1">
      <c r="A405" s="53" t="s">
        <v>346</v>
      </c>
      <c r="B405" s="52" t="s">
        <v>647</v>
      </c>
      <c r="C405" s="53" t="s">
        <v>646</v>
      </c>
      <c r="D405" s="53"/>
      <c r="E405" s="53"/>
      <c r="F405" s="48">
        <f aca="true" t="shared" si="40" ref="F405:H408">F406</f>
        <v>40</v>
      </c>
      <c r="G405" s="48">
        <f t="shared" si="40"/>
        <v>40</v>
      </c>
      <c r="H405" s="48">
        <f t="shared" si="40"/>
        <v>40</v>
      </c>
      <c r="I405" s="18"/>
      <c r="J405" s="18"/>
      <c r="K405" s="18"/>
      <c r="O405" s="18"/>
      <c r="P405" s="101"/>
    </row>
    <row r="406" spans="1:16" s="15" customFormat="1" ht="30" customHeight="1">
      <c r="A406" s="53" t="s">
        <v>513</v>
      </c>
      <c r="B406" s="52" t="s">
        <v>16</v>
      </c>
      <c r="C406" s="53" t="s">
        <v>646</v>
      </c>
      <c r="D406" s="53" t="s">
        <v>11</v>
      </c>
      <c r="E406" s="53" t="s">
        <v>418</v>
      </c>
      <c r="F406" s="48">
        <f t="shared" si="40"/>
        <v>40</v>
      </c>
      <c r="G406" s="48">
        <f t="shared" si="40"/>
        <v>40</v>
      </c>
      <c r="H406" s="48">
        <f t="shared" si="40"/>
        <v>40</v>
      </c>
      <c r="I406" s="18"/>
      <c r="J406" s="18"/>
      <c r="K406" s="18"/>
      <c r="O406" s="18"/>
      <c r="P406" s="101"/>
    </row>
    <row r="407" spans="1:16" s="15" customFormat="1" ht="29.25" customHeight="1">
      <c r="A407" s="53" t="s">
        <v>514</v>
      </c>
      <c r="B407" s="52" t="s">
        <v>17</v>
      </c>
      <c r="C407" s="53" t="s">
        <v>646</v>
      </c>
      <c r="D407" s="53" t="s">
        <v>7</v>
      </c>
      <c r="E407" s="53" t="s">
        <v>168</v>
      </c>
      <c r="F407" s="48">
        <v>40</v>
      </c>
      <c r="G407" s="48">
        <v>40</v>
      </c>
      <c r="H407" s="48">
        <v>40</v>
      </c>
      <c r="I407" s="18"/>
      <c r="J407" s="18"/>
      <c r="K407" s="18"/>
      <c r="M407" s="41">
        <v>20</v>
      </c>
      <c r="O407" s="18"/>
      <c r="P407" s="101"/>
    </row>
    <row r="408" spans="1:16" s="15" customFormat="1" ht="86.25" customHeight="1">
      <c r="A408" s="53" t="s">
        <v>101</v>
      </c>
      <c r="B408" s="52" t="s">
        <v>650</v>
      </c>
      <c r="C408" s="53" t="s">
        <v>649</v>
      </c>
      <c r="D408" s="53"/>
      <c r="E408" s="53"/>
      <c r="F408" s="48">
        <f t="shared" si="40"/>
        <v>30</v>
      </c>
      <c r="G408" s="48">
        <f t="shared" si="40"/>
        <v>30</v>
      </c>
      <c r="H408" s="48">
        <f t="shared" si="40"/>
        <v>30</v>
      </c>
      <c r="I408" s="18"/>
      <c r="J408" s="18"/>
      <c r="K408" s="18"/>
      <c r="M408" s="41"/>
      <c r="O408" s="18"/>
      <c r="P408" s="101"/>
    </row>
    <row r="409" spans="1:16" s="15" customFormat="1" ht="33.75" customHeight="1">
      <c r="A409" s="53" t="s">
        <v>102</v>
      </c>
      <c r="B409" s="52" t="s">
        <v>16</v>
      </c>
      <c r="C409" s="53" t="s">
        <v>649</v>
      </c>
      <c r="D409" s="53" t="s">
        <v>11</v>
      </c>
      <c r="E409" s="53" t="s">
        <v>418</v>
      </c>
      <c r="F409" s="48">
        <f>F410</f>
        <v>30</v>
      </c>
      <c r="G409" s="48">
        <f>G410</f>
        <v>30</v>
      </c>
      <c r="H409" s="48">
        <f>H410</f>
        <v>30</v>
      </c>
      <c r="I409" s="18"/>
      <c r="J409" s="18"/>
      <c r="K409" s="18"/>
      <c r="M409" s="41"/>
      <c r="O409" s="18"/>
      <c r="P409" s="101"/>
    </row>
    <row r="410" spans="1:16" s="15" customFormat="1" ht="28.5" customHeight="1">
      <c r="A410" s="53" t="s">
        <v>103</v>
      </c>
      <c r="B410" s="52" t="s">
        <v>17</v>
      </c>
      <c r="C410" s="53" t="s">
        <v>649</v>
      </c>
      <c r="D410" s="53" t="s">
        <v>7</v>
      </c>
      <c r="E410" s="53" t="s">
        <v>168</v>
      </c>
      <c r="F410" s="48">
        <v>30</v>
      </c>
      <c r="G410" s="48">
        <v>30</v>
      </c>
      <c r="H410" s="48">
        <v>30</v>
      </c>
      <c r="I410" s="18"/>
      <c r="J410" s="18"/>
      <c r="K410" s="18"/>
      <c r="M410" s="41"/>
      <c r="O410" s="18"/>
      <c r="P410" s="101"/>
    </row>
    <row r="411" spans="1:16" s="15" customFormat="1" ht="34.5" customHeight="1">
      <c r="A411" s="53" t="s">
        <v>104</v>
      </c>
      <c r="B411" s="70" t="s">
        <v>317</v>
      </c>
      <c r="C411" s="63" t="s">
        <v>219</v>
      </c>
      <c r="D411" s="63"/>
      <c r="E411" s="63"/>
      <c r="F411" s="66">
        <f>F412+F422+F456+F472</f>
        <v>103231.40000000002</v>
      </c>
      <c r="G411" s="66">
        <f>G412+G422+G456+G472</f>
        <v>94747.50000000001</v>
      </c>
      <c r="H411" s="66">
        <f>H412+H422+H456+H472</f>
        <v>94618.00000000001</v>
      </c>
      <c r="I411" s="18"/>
      <c r="J411" s="18"/>
      <c r="K411" s="18"/>
      <c r="O411" s="18"/>
      <c r="P411" s="101"/>
    </row>
    <row r="412" spans="1:16" s="15" customFormat="1" ht="25.5" customHeight="1">
      <c r="A412" s="53" t="s">
        <v>105</v>
      </c>
      <c r="B412" s="81" t="s">
        <v>176</v>
      </c>
      <c r="C412" s="65" t="s">
        <v>220</v>
      </c>
      <c r="D412" s="65"/>
      <c r="E412" s="65"/>
      <c r="F412" s="57">
        <f>F413+F416+F419</f>
        <v>22753.3</v>
      </c>
      <c r="G412" s="57">
        <f>G413+G416</f>
        <v>21289.5</v>
      </c>
      <c r="H412" s="57">
        <f>H413+H416</f>
        <v>21289.5</v>
      </c>
      <c r="I412" s="18"/>
      <c r="J412" s="18"/>
      <c r="K412" s="18">
        <v>-10.4</v>
      </c>
      <c r="O412" s="18"/>
      <c r="P412" s="101"/>
    </row>
    <row r="413" spans="1:16" s="15" customFormat="1" ht="69.75" customHeight="1">
      <c r="A413" s="53" t="s">
        <v>928</v>
      </c>
      <c r="B413" s="52" t="s">
        <v>607</v>
      </c>
      <c r="C413" s="53" t="s">
        <v>608</v>
      </c>
      <c r="D413" s="53"/>
      <c r="E413" s="53"/>
      <c r="F413" s="48">
        <f aca="true" t="shared" si="41" ref="F413:H414">F414</f>
        <v>21555.3</v>
      </c>
      <c r="G413" s="48">
        <f t="shared" si="41"/>
        <v>20891.5</v>
      </c>
      <c r="H413" s="48">
        <f t="shared" si="41"/>
        <v>20891.5</v>
      </c>
      <c r="I413" s="18"/>
      <c r="J413" s="18"/>
      <c r="K413" s="18"/>
      <c r="O413" s="18"/>
      <c r="P413" s="101"/>
    </row>
    <row r="414" spans="1:16" s="15" customFormat="1" ht="31.5" customHeight="1">
      <c r="A414" s="53" t="s">
        <v>929</v>
      </c>
      <c r="B414" s="52" t="s">
        <v>162</v>
      </c>
      <c r="C414" s="53" t="s">
        <v>608</v>
      </c>
      <c r="D414" s="53" t="s">
        <v>31</v>
      </c>
      <c r="E414" s="53" t="s">
        <v>419</v>
      </c>
      <c r="F414" s="48">
        <f t="shared" si="41"/>
        <v>21555.3</v>
      </c>
      <c r="G414" s="48">
        <f t="shared" si="41"/>
        <v>20891.5</v>
      </c>
      <c r="H414" s="48">
        <f t="shared" si="41"/>
        <v>20891.5</v>
      </c>
      <c r="I414" s="18"/>
      <c r="J414" s="18"/>
      <c r="K414" s="18"/>
      <c r="O414" s="18"/>
      <c r="P414" s="101"/>
    </row>
    <row r="415" spans="1:16" s="15" customFormat="1" ht="22.5" customHeight="1">
      <c r="A415" s="53" t="s">
        <v>930</v>
      </c>
      <c r="B415" s="52" t="s">
        <v>33</v>
      </c>
      <c r="C415" s="53" t="s">
        <v>608</v>
      </c>
      <c r="D415" s="53" t="s">
        <v>32</v>
      </c>
      <c r="E415" s="53" t="s">
        <v>175</v>
      </c>
      <c r="F415" s="48">
        <f>20891.5+663.8</f>
        <v>21555.3</v>
      </c>
      <c r="G415" s="48">
        <v>20891.5</v>
      </c>
      <c r="H415" s="48">
        <v>20891.5</v>
      </c>
      <c r="I415" s="18"/>
      <c r="J415" s="18"/>
      <c r="K415" s="18">
        <v>114</v>
      </c>
      <c r="L415" s="15">
        <v>-167.2</v>
      </c>
      <c r="O415" s="18"/>
      <c r="P415" s="101"/>
    </row>
    <row r="416" spans="1:16" s="15" customFormat="1" ht="94.5" customHeight="1">
      <c r="A416" s="53" t="s">
        <v>931</v>
      </c>
      <c r="B416" s="52" t="s">
        <v>221</v>
      </c>
      <c r="C416" s="53" t="s">
        <v>434</v>
      </c>
      <c r="D416" s="53"/>
      <c r="E416" s="53"/>
      <c r="F416" s="48">
        <f aca="true" t="shared" si="42" ref="F416:H420">SUM(F417)</f>
        <v>398</v>
      </c>
      <c r="G416" s="48">
        <f t="shared" si="42"/>
        <v>398</v>
      </c>
      <c r="H416" s="48">
        <f t="shared" si="42"/>
        <v>398</v>
      </c>
      <c r="I416" s="18"/>
      <c r="J416" s="18"/>
      <c r="K416" s="18"/>
      <c r="O416" s="18"/>
      <c r="P416" s="101"/>
    </row>
    <row r="417" spans="1:16" s="15" customFormat="1" ht="30" customHeight="1">
      <c r="A417" s="53" t="s">
        <v>932</v>
      </c>
      <c r="B417" s="52" t="s">
        <v>162</v>
      </c>
      <c r="C417" s="53" t="s">
        <v>434</v>
      </c>
      <c r="D417" s="53" t="s">
        <v>31</v>
      </c>
      <c r="E417" s="53" t="s">
        <v>419</v>
      </c>
      <c r="F417" s="48">
        <f t="shared" si="42"/>
        <v>398</v>
      </c>
      <c r="G417" s="48">
        <f t="shared" si="42"/>
        <v>398</v>
      </c>
      <c r="H417" s="48">
        <f t="shared" si="42"/>
        <v>398</v>
      </c>
      <c r="I417" s="18"/>
      <c r="J417" s="18"/>
      <c r="K417" s="18"/>
      <c r="O417" s="18"/>
      <c r="P417" s="101"/>
    </row>
    <row r="418" spans="1:16" s="15" customFormat="1" ht="18" customHeight="1">
      <c r="A418" s="53" t="s">
        <v>106</v>
      </c>
      <c r="B418" s="52" t="s">
        <v>33</v>
      </c>
      <c r="C418" s="53" t="s">
        <v>434</v>
      </c>
      <c r="D418" s="53" t="s">
        <v>32</v>
      </c>
      <c r="E418" s="53" t="s">
        <v>175</v>
      </c>
      <c r="F418" s="48">
        <v>398</v>
      </c>
      <c r="G418" s="48">
        <v>398</v>
      </c>
      <c r="H418" s="48">
        <v>398</v>
      </c>
      <c r="I418" s="18"/>
      <c r="J418" s="18"/>
      <c r="K418" s="18"/>
      <c r="O418" s="18"/>
      <c r="P418" s="101"/>
    </row>
    <row r="419" spans="1:16" s="15" customFormat="1" ht="82.5" customHeight="1">
      <c r="A419" s="53" t="s">
        <v>933</v>
      </c>
      <c r="B419" s="52" t="s">
        <v>1107</v>
      </c>
      <c r="C419" s="53" t="s">
        <v>1106</v>
      </c>
      <c r="D419" s="53"/>
      <c r="E419" s="53"/>
      <c r="F419" s="48">
        <f t="shared" si="42"/>
        <v>800</v>
      </c>
      <c r="G419" s="48">
        <f t="shared" si="42"/>
        <v>0</v>
      </c>
      <c r="H419" s="48">
        <f t="shared" si="42"/>
        <v>0</v>
      </c>
      <c r="I419" s="18"/>
      <c r="J419" s="18"/>
      <c r="K419" s="18"/>
      <c r="O419" s="18"/>
      <c r="P419" s="101"/>
    </row>
    <row r="420" spans="1:16" s="15" customFormat="1" ht="36" customHeight="1">
      <c r="A420" s="53" t="s">
        <v>934</v>
      </c>
      <c r="B420" s="52" t="s">
        <v>162</v>
      </c>
      <c r="C420" s="53" t="s">
        <v>1106</v>
      </c>
      <c r="D420" s="53" t="s">
        <v>31</v>
      </c>
      <c r="E420" s="53" t="s">
        <v>419</v>
      </c>
      <c r="F420" s="48">
        <f t="shared" si="42"/>
        <v>800</v>
      </c>
      <c r="G420" s="48">
        <f t="shared" si="42"/>
        <v>0</v>
      </c>
      <c r="H420" s="48">
        <f t="shared" si="42"/>
        <v>0</v>
      </c>
      <c r="I420" s="18"/>
      <c r="J420" s="18"/>
      <c r="K420" s="18"/>
      <c r="O420" s="18"/>
      <c r="P420" s="101"/>
    </row>
    <row r="421" spans="1:16" s="15" customFormat="1" ht="18" customHeight="1">
      <c r="A421" s="53" t="s">
        <v>935</v>
      </c>
      <c r="B421" s="52" t="s">
        <v>33</v>
      </c>
      <c r="C421" s="53" t="s">
        <v>1106</v>
      </c>
      <c r="D421" s="53" t="s">
        <v>32</v>
      </c>
      <c r="E421" s="53" t="s">
        <v>175</v>
      </c>
      <c r="F421" s="48">
        <v>800</v>
      </c>
      <c r="G421" s="48">
        <v>0</v>
      </c>
      <c r="H421" s="48">
        <v>0</v>
      </c>
      <c r="I421" s="18"/>
      <c r="J421" s="18"/>
      <c r="K421" s="18"/>
      <c r="O421" s="18"/>
      <c r="P421" s="106">
        <v>800</v>
      </c>
    </row>
    <row r="422" spans="1:16" s="15" customFormat="1" ht="42.75" customHeight="1">
      <c r="A422" s="53" t="s">
        <v>936</v>
      </c>
      <c r="B422" s="81" t="s">
        <v>180</v>
      </c>
      <c r="C422" s="65" t="s">
        <v>222</v>
      </c>
      <c r="D422" s="82"/>
      <c r="E422" s="65"/>
      <c r="F422" s="57">
        <f>F438+F448+F451+F426+F443+F423+F429+F432+F435</f>
        <v>60242.600000000006</v>
      </c>
      <c r="G422" s="57">
        <f>G438+G448+G451+G426+G443+G423</f>
        <v>56007.200000000004</v>
      </c>
      <c r="H422" s="57">
        <f>H438+H448+H451+H426+H443+H423</f>
        <v>56007.200000000004</v>
      </c>
      <c r="I422" s="18"/>
      <c r="J422" s="18"/>
      <c r="K422" s="18"/>
      <c r="M422" s="41">
        <v>1294.4</v>
      </c>
      <c r="O422" s="18"/>
      <c r="P422" s="101"/>
    </row>
    <row r="423" spans="1:16" s="15" customFormat="1" ht="72.75" customHeight="1">
      <c r="A423" s="53" t="s">
        <v>937</v>
      </c>
      <c r="B423" s="52" t="s">
        <v>614</v>
      </c>
      <c r="C423" s="53" t="s">
        <v>613</v>
      </c>
      <c r="D423" s="53"/>
      <c r="E423" s="53"/>
      <c r="F423" s="48">
        <f aca="true" t="shared" si="43" ref="F423:H424">F424</f>
        <v>55275.4</v>
      </c>
      <c r="G423" s="48">
        <f t="shared" si="43"/>
        <v>54585.4</v>
      </c>
      <c r="H423" s="48">
        <f t="shared" si="43"/>
        <v>54585.4</v>
      </c>
      <c r="I423" s="18"/>
      <c r="J423" s="18"/>
      <c r="K423" s="18"/>
      <c r="O423" s="18"/>
      <c r="P423" s="101"/>
    </row>
    <row r="424" spans="1:16" s="15" customFormat="1" ht="30.75" customHeight="1">
      <c r="A424" s="53" t="s">
        <v>938</v>
      </c>
      <c r="B424" s="52" t="s">
        <v>162</v>
      </c>
      <c r="C424" s="53" t="s">
        <v>613</v>
      </c>
      <c r="D424" s="53" t="s">
        <v>31</v>
      </c>
      <c r="E424" s="53" t="s">
        <v>419</v>
      </c>
      <c r="F424" s="48">
        <f t="shared" si="43"/>
        <v>55275.4</v>
      </c>
      <c r="G424" s="48">
        <f t="shared" si="43"/>
        <v>54585.4</v>
      </c>
      <c r="H424" s="48">
        <f t="shared" si="43"/>
        <v>54585.4</v>
      </c>
      <c r="I424" s="18"/>
      <c r="J424" s="18"/>
      <c r="K424" s="18"/>
      <c r="O424" s="18"/>
      <c r="P424" s="101"/>
    </row>
    <row r="425" spans="1:16" s="15" customFormat="1" ht="19.5" customHeight="1">
      <c r="A425" s="53" t="s">
        <v>817</v>
      </c>
      <c r="B425" s="52" t="s">
        <v>33</v>
      </c>
      <c r="C425" s="53" t="s">
        <v>613</v>
      </c>
      <c r="D425" s="53" t="s">
        <v>32</v>
      </c>
      <c r="E425" s="53" t="s">
        <v>175</v>
      </c>
      <c r="F425" s="48">
        <f>54585.4+690</f>
        <v>55275.4</v>
      </c>
      <c r="G425" s="48">
        <v>54585.4</v>
      </c>
      <c r="H425" s="48">
        <v>54585.4</v>
      </c>
      <c r="I425" s="18"/>
      <c r="J425" s="18"/>
      <c r="K425" s="18"/>
      <c r="M425" s="41">
        <v>-61.1</v>
      </c>
      <c r="O425" s="18"/>
      <c r="P425" s="101"/>
    </row>
    <row r="426" spans="1:16" s="15" customFormat="1" ht="99.75" customHeight="1">
      <c r="A426" s="53" t="s">
        <v>818</v>
      </c>
      <c r="B426" s="52" t="s">
        <v>223</v>
      </c>
      <c r="C426" s="53" t="s">
        <v>435</v>
      </c>
      <c r="D426" s="53"/>
      <c r="E426" s="53"/>
      <c r="F426" s="48">
        <f aca="true" t="shared" si="44" ref="F426:H436">F427</f>
        <v>1296.8</v>
      </c>
      <c r="G426" s="48">
        <f t="shared" si="44"/>
        <v>1296.8</v>
      </c>
      <c r="H426" s="48">
        <f t="shared" si="44"/>
        <v>1296.8</v>
      </c>
      <c r="I426" s="18"/>
      <c r="J426" s="18"/>
      <c r="K426" s="18"/>
      <c r="O426" s="18"/>
      <c r="P426" s="101"/>
    </row>
    <row r="427" spans="1:16" s="15" customFormat="1" ht="33" customHeight="1">
      <c r="A427" s="53" t="s">
        <v>819</v>
      </c>
      <c r="B427" s="52" t="s">
        <v>162</v>
      </c>
      <c r="C427" s="53" t="s">
        <v>435</v>
      </c>
      <c r="D427" s="53" t="s">
        <v>31</v>
      </c>
      <c r="E427" s="53" t="s">
        <v>419</v>
      </c>
      <c r="F427" s="48">
        <f t="shared" si="44"/>
        <v>1296.8</v>
      </c>
      <c r="G427" s="48">
        <f t="shared" si="44"/>
        <v>1296.8</v>
      </c>
      <c r="H427" s="48">
        <f t="shared" si="44"/>
        <v>1296.8</v>
      </c>
      <c r="I427" s="18"/>
      <c r="J427" s="18"/>
      <c r="K427" s="18"/>
      <c r="O427" s="18"/>
      <c r="P427" s="101"/>
    </row>
    <row r="428" spans="1:16" s="15" customFormat="1" ht="22.5" customHeight="1">
      <c r="A428" s="53" t="s">
        <v>107</v>
      </c>
      <c r="B428" s="52" t="s">
        <v>33</v>
      </c>
      <c r="C428" s="53" t="s">
        <v>435</v>
      </c>
      <c r="D428" s="53" t="s">
        <v>32</v>
      </c>
      <c r="E428" s="53" t="s">
        <v>175</v>
      </c>
      <c r="F428" s="48">
        <v>1296.8</v>
      </c>
      <c r="G428" s="48">
        <v>1296.8</v>
      </c>
      <c r="H428" s="48">
        <v>1296.8</v>
      </c>
      <c r="I428" s="18"/>
      <c r="J428" s="18"/>
      <c r="K428" s="18"/>
      <c r="M428" s="41">
        <v>1173.3</v>
      </c>
      <c r="O428" s="18"/>
      <c r="P428" s="101"/>
    </row>
    <row r="429" spans="1:16" s="15" customFormat="1" ht="81" customHeight="1">
      <c r="A429" s="53" t="s">
        <v>294</v>
      </c>
      <c r="B429" s="52" t="s">
        <v>1109</v>
      </c>
      <c r="C429" s="53" t="s">
        <v>1108</v>
      </c>
      <c r="D429" s="53"/>
      <c r="E429" s="53"/>
      <c r="F429" s="48">
        <f t="shared" si="44"/>
        <v>1300</v>
      </c>
      <c r="G429" s="48">
        <f t="shared" si="44"/>
        <v>0</v>
      </c>
      <c r="H429" s="48">
        <f t="shared" si="44"/>
        <v>0</v>
      </c>
      <c r="I429" s="18"/>
      <c r="J429" s="18"/>
      <c r="K429" s="18"/>
      <c r="M429" s="41"/>
      <c r="O429" s="18"/>
      <c r="P429" s="101"/>
    </row>
    <row r="430" spans="1:16" s="15" customFormat="1" ht="39" customHeight="1">
      <c r="A430" s="53" t="s">
        <v>375</v>
      </c>
      <c r="B430" s="52" t="s">
        <v>162</v>
      </c>
      <c r="C430" s="53" t="s">
        <v>1108</v>
      </c>
      <c r="D430" s="53" t="s">
        <v>31</v>
      </c>
      <c r="E430" s="53" t="s">
        <v>419</v>
      </c>
      <c r="F430" s="48">
        <f t="shared" si="44"/>
        <v>1300</v>
      </c>
      <c r="G430" s="48">
        <f t="shared" si="44"/>
        <v>0</v>
      </c>
      <c r="H430" s="48">
        <f t="shared" si="44"/>
        <v>0</v>
      </c>
      <c r="I430" s="18"/>
      <c r="J430" s="18"/>
      <c r="K430" s="18"/>
      <c r="M430" s="41"/>
      <c r="O430" s="18"/>
      <c r="P430" s="101"/>
    </row>
    <row r="431" spans="1:16" s="15" customFormat="1" ht="22.5" customHeight="1">
      <c r="A431" s="53" t="s">
        <v>376</v>
      </c>
      <c r="B431" s="52" t="s">
        <v>33</v>
      </c>
      <c r="C431" s="53" t="s">
        <v>1108</v>
      </c>
      <c r="D431" s="53" t="s">
        <v>32</v>
      </c>
      <c r="E431" s="53" t="s">
        <v>175</v>
      </c>
      <c r="F431" s="48">
        <v>1300</v>
      </c>
      <c r="G431" s="48">
        <v>0</v>
      </c>
      <c r="H431" s="48">
        <v>0</v>
      </c>
      <c r="I431" s="18"/>
      <c r="J431" s="18"/>
      <c r="K431" s="18"/>
      <c r="M431" s="41"/>
      <c r="O431" s="18"/>
      <c r="P431" s="106">
        <v>1300</v>
      </c>
    </row>
    <row r="432" spans="1:16" s="15" customFormat="1" ht="97.5" customHeight="1">
      <c r="A432" s="53" t="s">
        <v>377</v>
      </c>
      <c r="B432" s="52" t="s">
        <v>1110</v>
      </c>
      <c r="C432" s="53" t="s">
        <v>1341</v>
      </c>
      <c r="D432" s="53"/>
      <c r="E432" s="53"/>
      <c r="F432" s="48">
        <f t="shared" si="44"/>
        <v>2000</v>
      </c>
      <c r="G432" s="48">
        <f t="shared" si="44"/>
        <v>0</v>
      </c>
      <c r="H432" s="48">
        <f t="shared" si="44"/>
        <v>0</v>
      </c>
      <c r="I432" s="18"/>
      <c r="J432" s="18"/>
      <c r="K432" s="18"/>
      <c r="M432" s="41"/>
      <c r="O432" s="18"/>
      <c r="P432" s="101"/>
    </row>
    <row r="433" spans="1:16" s="15" customFormat="1" ht="36.75" customHeight="1">
      <c r="A433" s="53" t="s">
        <v>378</v>
      </c>
      <c r="B433" s="52" t="s">
        <v>162</v>
      </c>
      <c r="C433" s="53" t="s">
        <v>1341</v>
      </c>
      <c r="D433" s="53" t="s">
        <v>31</v>
      </c>
      <c r="E433" s="53" t="s">
        <v>419</v>
      </c>
      <c r="F433" s="48">
        <f t="shared" si="44"/>
        <v>2000</v>
      </c>
      <c r="G433" s="48">
        <f t="shared" si="44"/>
        <v>0</v>
      </c>
      <c r="H433" s="48">
        <f t="shared" si="44"/>
        <v>0</v>
      </c>
      <c r="I433" s="18"/>
      <c r="J433" s="18"/>
      <c r="K433" s="18"/>
      <c r="M433" s="41"/>
      <c r="O433" s="18"/>
      <c r="P433" s="101"/>
    </row>
    <row r="434" spans="1:16" s="15" customFormat="1" ht="22.5" customHeight="1">
      <c r="A434" s="53" t="s">
        <v>379</v>
      </c>
      <c r="B434" s="52" t="s">
        <v>33</v>
      </c>
      <c r="C434" s="53" t="s">
        <v>1341</v>
      </c>
      <c r="D434" s="53" t="s">
        <v>32</v>
      </c>
      <c r="E434" s="53" t="s">
        <v>175</v>
      </c>
      <c r="F434" s="48">
        <v>2000</v>
      </c>
      <c r="G434" s="48">
        <v>0</v>
      </c>
      <c r="H434" s="48">
        <v>0</v>
      </c>
      <c r="I434" s="18"/>
      <c r="J434" s="18"/>
      <c r="K434" s="18"/>
      <c r="M434" s="41"/>
      <c r="O434" s="18"/>
      <c r="P434" s="106">
        <v>2000</v>
      </c>
    </row>
    <row r="435" spans="1:16" s="15" customFormat="1" ht="99" customHeight="1">
      <c r="A435" s="53" t="s">
        <v>515</v>
      </c>
      <c r="B435" s="52" t="s">
        <v>1111</v>
      </c>
      <c r="C435" s="53" t="s">
        <v>1341</v>
      </c>
      <c r="D435" s="53"/>
      <c r="E435" s="53"/>
      <c r="F435" s="48">
        <f t="shared" si="44"/>
        <v>245.4</v>
      </c>
      <c r="G435" s="48">
        <f t="shared" si="44"/>
        <v>0</v>
      </c>
      <c r="H435" s="48">
        <f t="shared" si="44"/>
        <v>0</v>
      </c>
      <c r="I435" s="18"/>
      <c r="J435" s="18"/>
      <c r="K435" s="18"/>
      <c r="M435" s="41"/>
      <c r="O435" s="18"/>
      <c r="P435" s="101"/>
    </row>
    <row r="436" spans="1:16" s="15" customFormat="1" ht="30" customHeight="1">
      <c r="A436" s="53" t="s">
        <v>516</v>
      </c>
      <c r="B436" s="52" t="s">
        <v>162</v>
      </c>
      <c r="C436" s="53" t="s">
        <v>1341</v>
      </c>
      <c r="D436" s="53" t="s">
        <v>31</v>
      </c>
      <c r="E436" s="53" t="s">
        <v>419</v>
      </c>
      <c r="F436" s="48">
        <f t="shared" si="44"/>
        <v>245.4</v>
      </c>
      <c r="G436" s="48">
        <f t="shared" si="44"/>
        <v>0</v>
      </c>
      <c r="H436" s="48">
        <f t="shared" si="44"/>
        <v>0</v>
      </c>
      <c r="I436" s="18"/>
      <c r="J436" s="18"/>
      <c r="K436" s="18"/>
      <c r="M436" s="41"/>
      <c r="O436" s="18"/>
      <c r="P436" s="101"/>
    </row>
    <row r="437" spans="1:16" s="15" customFormat="1" ht="22.5" customHeight="1">
      <c r="A437" s="53" t="s">
        <v>517</v>
      </c>
      <c r="B437" s="52" t="s">
        <v>33</v>
      </c>
      <c r="C437" s="53" t="s">
        <v>1341</v>
      </c>
      <c r="D437" s="53" t="s">
        <v>32</v>
      </c>
      <c r="E437" s="53" t="s">
        <v>175</v>
      </c>
      <c r="F437" s="48">
        <v>245.4</v>
      </c>
      <c r="G437" s="48">
        <v>0</v>
      </c>
      <c r="H437" s="48">
        <v>0</v>
      </c>
      <c r="I437" s="18"/>
      <c r="J437" s="18"/>
      <c r="K437" s="18"/>
      <c r="M437" s="41"/>
      <c r="O437" s="18"/>
      <c r="P437" s="106">
        <v>245.4</v>
      </c>
    </row>
    <row r="438" spans="1:16" s="15" customFormat="1" ht="73.5" customHeight="1">
      <c r="A438" s="53" t="s">
        <v>295</v>
      </c>
      <c r="B438" s="52" t="s">
        <v>400</v>
      </c>
      <c r="C438" s="53" t="s">
        <v>609</v>
      </c>
      <c r="D438" s="53"/>
      <c r="E438" s="53"/>
      <c r="F438" s="48">
        <f>F439+F441</f>
        <v>25</v>
      </c>
      <c r="G438" s="48">
        <f aca="true" t="shared" si="45" ref="F438:H446">G439</f>
        <v>25</v>
      </c>
      <c r="H438" s="48">
        <f t="shared" si="45"/>
        <v>25</v>
      </c>
      <c r="I438" s="18"/>
      <c r="J438" s="18"/>
      <c r="K438" s="18"/>
      <c r="O438" s="18"/>
      <c r="P438" s="101"/>
    </row>
    <row r="439" spans="1:16" s="15" customFormat="1" ht="34.5" customHeight="1">
      <c r="A439" s="53" t="s">
        <v>939</v>
      </c>
      <c r="B439" s="52" t="s">
        <v>16</v>
      </c>
      <c r="C439" s="53" t="s">
        <v>609</v>
      </c>
      <c r="D439" s="53" t="s">
        <v>11</v>
      </c>
      <c r="E439" s="53" t="s">
        <v>419</v>
      </c>
      <c r="F439" s="48">
        <f t="shared" si="45"/>
        <v>0</v>
      </c>
      <c r="G439" s="48">
        <f t="shared" si="45"/>
        <v>25</v>
      </c>
      <c r="H439" s="48">
        <f t="shared" si="45"/>
        <v>25</v>
      </c>
      <c r="I439" s="18"/>
      <c r="J439" s="18"/>
      <c r="K439" s="18"/>
      <c r="O439" s="18"/>
      <c r="P439" s="101"/>
    </row>
    <row r="440" spans="1:16" s="15" customFormat="1" ht="36" customHeight="1">
      <c r="A440" s="53" t="s">
        <v>940</v>
      </c>
      <c r="B440" s="52" t="s">
        <v>17</v>
      </c>
      <c r="C440" s="53" t="s">
        <v>609</v>
      </c>
      <c r="D440" s="53" t="s">
        <v>7</v>
      </c>
      <c r="E440" s="53" t="s">
        <v>175</v>
      </c>
      <c r="F440" s="48">
        <f>25-25</f>
        <v>0</v>
      </c>
      <c r="G440" s="48">
        <v>25</v>
      </c>
      <c r="H440" s="48">
        <v>25</v>
      </c>
      <c r="I440" s="18"/>
      <c r="J440" s="18"/>
      <c r="K440" s="18"/>
      <c r="O440" s="18"/>
      <c r="P440" s="106">
        <v>-25</v>
      </c>
    </row>
    <row r="441" spans="1:16" s="15" customFormat="1" ht="36" customHeight="1">
      <c r="A441" s="53" t="s">
        <v>941</v>
      </c>
      <c r="B441" s="52" t="s">
        <v>162</v>
      </c>
      <c r="C441" s="53" t="s">
        <v>609</v>
      </c>
      <c r="D441" s="53" t="s">
        <v>31</v>
      </c>
      <c r="E441" s="53" t="s">
        <v>419</v>
      </c>
      <c r="F441" s="48">
        <f t="shared" si="45"/>
        <v>25</v>
      </c>
      <c r="G441" s="48">
        <f t="shared" si="45"/>
        <v>0</v>
      </c>
      <c r="H441" s="48">
        <f t="shared" si="45"/>
        <v>0</v>
      </c>
      <c r="I441" s="18"/>
      <c r="J441" s="18"/>
      <c r="K441" s="18"/>
      <c r="O441" s="18"/>
      <c r="P441" s="101"/>
    </row>
    <row r="442" spans="1:16" s="15" customFormat="1" ht="36" customHeight="1">
      <c r="A442" s="53" t="s">
        <v>942</v>
      </c>
      <c r="B442" s="52" t="s">
        <v>33</v>
      </c>
      <c r="C442" s="53" t="s">
        <v>609</v>
      </c>
      <c r="D442" s="53" t="s">
        <v>32</v>
      </c>
      <c r="E442" s="53" t="s">
        <v>175</v>
      </c>
      <c r="F442" s="48">
        <v>25</v>
      </c>
      <c r="G442" s="48">
        <v>0</v>
      </c>
      <c r="H442" s="48">
        <v>0</v>
      </c>
      <c r="I442" s="18"/>
      <c r="J442" s="18"/>
      <c r="K442" s="18"/>
      <c r="O442" s="18"/>
      <c r="P442" s="106">
        <v>25</v>
      </c>
    </row>
    <row r="443" spans="1:16" s="15" customFormat="1" ht="100.5" customHeight="1">
      <c r="A443" s="53" t="s">
        <v>943</v>
      </c>
      <c r="B443" s="52" t="s">
        <v>401</v>
      </c>
      <c r="C443" s="53" t="s">
        <v>610</v>
      </c>
      <c r="D443" s="53"/>
      <c r="E443" s="53"/>
      <c r="F443" s="48">
        <f>F444+F446</f>
        <v>25</v>
      </c>
      <c r="G443" s="48">
        <f t="shared" si="45"/>
        <v>25</v>
      </c>
      <c r="H443" s="48">
        <f t="shared" si="45"/>
        <v>25</v>
      </c>
      <c r="I443" s="18"/>
      <c r="J443" s="18"/>
      <c r="K443" s="18"/>
      <c r="O443" s="18"/>
      <c r="P443" s="101"/>
    </row>
    <row r="444" spans="1:16" s="15" customFormat="1" ht="33.75" customHeight="1">
      <c r="A444" s="53" t="s">
        <v>944</v>
      </c>
      <c r="B444" s="52" t="s">
        <v>16</v>
      </c>
      <c r="C444" s="53" t="s">
        <v>610</v>
      </c>
      <c r="D444" s="53" t="s">
        <v>11</v>
      </c>
      <c r="E444" s="53" t="s">
        <v>419</v>
      </c>
      <c r="F444" s="48">
        <f t="shared" si="45"/>
        <v>0</v>
      </c>
      <c r="G444" s="48">
        <f t="shared" si="45"/>
        <v>25</v>
      </c>
      <c r="H444" s="48">
        <f t="shared" si="45"/>
        <v>25</v>
      </c>
      <c r="I444" s="18"/>
      <c r="J444" s="18"/>
      <c r="K444" s="18"/>
      <c r="O444" s="18"/>
      <c r="P444" s="101"/>
    </row>
    <row r="445" spans="1:16" s="15" customFormat="1" ht="34.5" customHeight="1">
      <c r="A445" s="53" t="s">
        <v>1021</v>
      </c>
      <c r="B445" s="52" t="s">
        <v>17</v>
      </c>
      <c r="C445" s="53" t="s">
        <v>610</v>
      </c>
      <c r="D445" s="53" t="s">
        <v>7</v>
      </c>
      <c r="E445" s="53" t="s">
        <v>175</v>
      </c>
      <c r="F445" s="48">
        <f>25-25</f>
        <v>0</v>
      </c>
      <c r="G445" s="48">
        <v>25</v>
      </c>
      <c r="H445" s="48">
        <v>25</v>
      </c>
      <c r="I445" s="18"/>
      <c r="J445" s="18"/>
      <c r="K445" s="18"/>
      <c r="O445" s="18"/>
      <c r="P445" s="106">
        <v>-25</v>
      </c>
    </row>
    <row r="446" spans="1:16" s="15" customFormat="1" ht="34.5" customHeight="1">
      <c r="A446" s="53" t="s">
        <v>1022</v>
      </c>
      <c r="B446" s="52" t="s">
        <v>162</v>
      </c>
      <c r="C446" s="53" t="s">
        <v>610</v>
      </c>
      <c r="D446" s="53" t="s">
        <v>31</v>
      </c>
      <c r="E446" s="53" t="s">
        <v>419</v>
      </c>
      <c r="F446" s="48">
        <f t="shared" si="45"/>
        <v>25</v>
      </c>
      <c r="G446" s="48">
        <f t="shared" si="45"/>
        <v>0</v>
      </c>
      <c r="H446" s="48">
        <f t="shared" si="45"/>
        <v>0</v>
      </c>
      <c r="I446" s="18"/>
      <c r="J446" s="18"/>
      <c r="K446" s="18"/>
      <c r="O446" s="18"/>
      <c r="P446" s="101"/>
    </row>
    <row r="447" spans="1:16" s="15" customFormat="1" ht="34.5" customHeight="1">
      <c r="A447" s="53" t="s">
        <v>820</v>
      </c>
      <c r="B447" s="52" t="s">
        <v>33</v>
      </c>
      <c r="C447" s="53" t="s">
        <v>610</v>
      </c>
      <c r="D447" s="53" t="s">
        <v>32</v>
      </c>
      <c r="E447" s="53" t="s">
        <v>175</v>
      </c>
      <c r="F447" s="48">
        <v>25</v>
      </c>
      <c r="G447" s="48">
        <v>0</v>
      </c>
      <c r="H447" s="48">
        <v>0</v>
      </c>
      <c r="I447" s="18"/>
      <c r="J447" s="18"/>
      <c r="K447" s="18"/>
      <c r="O447" s="18"/>
      <c r="P447" s="106">
        <v>25</v>
      </c>
    </row>
    <row r="448" spans="1:16" s="15" customFormat="1" ht="73.5" customHeight="1">
      <c r="A448" s="53" t="s">
        <v>821</v>
      </c>
      <c r="B448" s="52" t="s">
        <v>402</v>
      </c>
      <c r="C448" s="53" t="s">
        <v>611</v>
      </c>
      <c r="D448" s="53"/>
      <c r="E448" s="53"/>
      <c r="F448" s="48">
        <f aca="true" t="shared" si="46" ref="F448:H449">F449</f>
        <v>45</v>
      </c>
      <c r="G448" s="48">
        <f t="shared" si="46"/>
        <v>45</v>
      </c>
      <c r="H448" s="48">
        <f t="shared" si="46"/>
        <v>45</v>
      </c>
      <c r="I448" s="18"/>
      <c r="J448" s="18"/>
      <c r="K448" s="18"/>
      <c r="O448" s="18"/>
      <c r="P448" s="101"/>
    </row>
    <row r="449" spans="1:16" s="15" customFormat="1" ht="34.5" customHeight="1">
      <c r="A449" s="53" t="s">
        <v>822</v>
      </c>
      <c r="B449" s="52" t="s">
        <v>16</v>
      </c>
      <c r="C449" s="53" t="s">
        <v>611</v>
      </c>
      <c r="D449" s="53" t="s">
        <v>11</v>
      </c>
      <c r="E449" s="53" t="s">
        <v>419</v>
      </c>
      <c r="F449" s="48">
        <f t="shared" si="46"/>
        <v>45</v>
      </c>
      <c r="G449" s="48">
        <f t="shared" si="46"/>
        <v>45</v>
      </c>
      <c r="H449" s="48">
        <f t="shared" si="46"/>
        <v>45</v>
      </c>
      <c r="I449" s="18"/>
      <c r="J449" s="18"/>
      <c r="K449" s="18"/>
      <c r="O449" s="18"/>
      <c r="P449" s="101"/>
    </row>
    <row r="450" spans="1:16" s="15" customFormat="1" ht="33" customHeight="1">
      <c r="A450" s="53" t="s">
        <v>823</v>
      </c>
      <c r="B450" s="52" t="s">
        <v>17</v>
      </c>
      <c r="C450" s="53" t="s">
        <v>611</v>
      </c>
      <c r="D450" s="53" t="s">
        <v>7</v>
      </c>
      <c r="E450" s="53" t="s">
        <v>175</v>
      </c>
      <c r="F450" s="48">
        <v>45</v>
      </c>
      <c r="G450" s="48">
        <v>45</v>
      </c>
      <c r="H450" s="48">
        <v>45</v>
      </c>
      <c r="I450" s="18"/>
      <c r="J450" s="18"/>
      <c r="K450" s="18"/>
      <c r="O450" s="18"/>
      <c r="P450" s="101"/>
    </row>
    <row r="451" spans="1:16" s="15" customFormat="1" ht="70.5" customHeight="1">
      <c r="A451" s="53" t="s">
        <v>824</v>
      </c>
      <c r="B451" s="52" t="s">
        <v>403</v>
      </c>
      <c r="C451" s="53" t="s">
        <v>612</v>
      </c>
      <c r="D451" s="53"/>
      <c r="E451" s="53"/>
      <c r="F451" s="48">
        <f>F452+F454</f>
        <v>30</v>
      </c>
      <c r="G451" s="48">
        <f aca="true" t="shared" si="47" ref="F451:H452">G452</f>
        <v>30</v>
      </c>
      <c r="H451" s="48">
        <f t="shared" si="47"/>
        <v>30</v>
      </c>
      <c r="I451" s="18"/>
      <c r="J451" s="18"/>
      <c r="K451" s="18"/>
      <c r="O451" s="18"/>
      <c r="P451" s="101"/>
    </row>
    <row r="452" spans="1:16" s="15" customFormat="1" ht="35.25" customHeight="1">
      <c r="A452" s="53" t="s">
        <v>825</v>
      </c>
      <c r="B452" s="52" t="s">
        <v>16</v>
      </c>
      <c r="C452" s="53" t="s">
        <v>612</v>
      </c>
      <c r="D452" s="53" t="s">
        <v>11</v>
      </c>
      <c r="E452" s="53" t="s">
        <v>419</v>
      </c>
      <c r="F452" s="48">
        <f t="shared" si="47"/>
        <v>0</v>
      </c>
      <c r="G452" s="48">
        <f t="shared" si="47"/>
        <v>30</v>
      </c>
      <c r="H452" s="48">
        <f t="shared" si="47"/>
        <v>30</v>
      </c>
      <c r="I452" s="18"/>
      <c r="J452" s="18"/>
      <c r="K452" s="18"/>
      <c r="O452" s="18"/>
      <c r="P452" s="101"/>
    </row>
    <row r="453" spans="1:16" s="14" customFormat="1" ht="33" customHeight="1">
      <c r="A453" s="53" t="s">
        <v>108</v>
      </c>
      <c r="B453" s="52" t="s">
        <v>17</v>
      </c>
      <c r="C453" s="53" t="s">
        <v>612</v>
      </c>
      <c r="D453" s="53" t="s">
        <v>7</v>
      </c>
      <c r="E453" s="53" t="s">
        <v>175</v>
      </c>
      <c r="F453" s="48">
        <f>30-30</f>
        <v>0</v>
      </c>
      <c r="G453" s="48">
        <v>30</v>
      </c>
      <c r="H453" s="48">
        <v>30</v>
      </c>
      <c r="I453" s="21"/>
      <c r="J453" s="21"/>
      <c r="K453" s="21"/>
      <c r="O453" s="21"/>
      <c r="P453" s="107">
        <v>-30</v>
      </c>
    </row>
    <row r="454" spans="1:16" s="14" customFormat="1" ht="33" customHeight="1">
      <c r="A454" s="53" t="s">
        <v>347</v>
      </c>
      <c r="B454" s="52" t="s">
        <v>162</v>
      </c>
      <c r="C454" s="53" t="s">
        <v>612</v>
      </c>
      <c r="D454" s="53" t="s">
        <v>31</v>
      </c>
      <c r="E454" s="53" t="s">
        <v>419</v>
      </c>
      <c r="F454" s="48">
        <f>F455</f>
        <v>30</v>
      </c>
      <c r="G454" s="48">
        <f>G455</f>
        <v>0</v>
      </c>
      <c r="H454" s="48">
        <f>H455</f>
        <v>0</v>
      </c>
      <c r="I454" s="21"/>
      <c r="J454" s="21"/>
      <c r="K454" s="21"/>
      <c r="O454" s="21"/>
      <c r="P454" s="108"/>
    </row>
    <row r="455" spans="1:16" s="14" customFormat="1" ht="33" customHeight="1">
      <c r="A455" s="53" t="s">
        <v>348</v>
      </c>
      <c r="B455" s="52" t="s">
        <v>33</v>
      </c>
      <c r="C455" s="53" t="s">
        <v>612</v>
      </c>
      <c r="D455" s="53" t="s">
        <v>32</v>
      </c>
      <c r="E455" s="53" t="s">
        <v>175</v>
      </c>
      <c r="F455" s="48">
        <v>30</v>
      </c>
      <c r="G455" s="48">
        <v>0</v>
      </c>
      <c r="H455" s="48">
        <v>0</v>
      </c>
      <c r="I455" s="21"/>
      <c r="J455" s="21"/>
      <c r="K455" s="21"/>
      <c r="O455" s="21"/>
      <c r="P455" s="107">
        <v>30</v>
      </c>
    </row>
    <row r="456" spans="1:16" s="15" customFormat="1" ht="30" customHeight="1">
      <c r="A456" s="53" t="s">
        <v>349</v>
      </c>
      <c r="B456" s="81" t="s">
        <v>140</v>
      </c>
      <c r="C456" s="65" t="s">
        <v>217</v>
      </c>
      <c r="D456" s="65"/>
      <c r="E456" s="65"/>
      <c r="F456" s="56">
        <f>F457+F467+F464</f>
        <v>2880.1</v>
      </c>
      <c r="G456" s="56">
        <f>G457+G467</f>
        <v>2487.7000000000003</v>
      </c>
      <c r="H456" s="56">
        <f>H457+H467</f>
        <v>2487.7000000000003</v>
      </c>
      <c r="I456" s="18"/>
      <c r="J456" s="18"/>
      <c r="K456" s="18"/>
      <c r="M456" s="41">
        <v>-0.6</v>
      </c>
      <c r="O456" s="18"/>
      <c r="P456" s="101"/>
    </row>
    <row r="457" spans="1:16" s="15" customFormat="1" ht="69" customHeight="1">
      <c r="A457" s="53" t="s">
        <v>109</v>
      </c>
      <c r="B457" s="52" t="s">
        <v>615</v>
      </c>
      <c r="C457" s="53" t="s">
        <v>616</v>
      </c>
      <c r="D457" s="53"/>
      <c r="E457" s="53"/>
      <c r="F457" s="55">
        <f>F458+F460+F462</f>
        <v>2523.3</v>
      </c>
      <c r="G457" s="55">
        <f>G458+G460+G462</f>
        <v>2340.4</v>
      </c>
      <c r="H457" s="55">
        <f>H458+H460+H462</f>
        <v>2340.4</v>
      </c>
      <c r="I457" s="18"/>
      <c r="J457" s="18"/>
      <c r="K457" s="18"/>
      <c r="O457" s="18"/>
      <c r="P457" s="101"/>
    </row>
    <row r="458" spans="1:16" s="15" customFormat="1" ht="57" customHeight="1">
      <c r="A458" s="53" t="s">
        <v>110</v>
      </c>
      <c r="B458" s="68" t="s">
        <v>46</v>
      </c>
      <c r="C458" s="53" t="s">
        <v>616</v>
      </c>
      <c r="D458" s="53" t="s">
        <v>44</v>
      </c>
      <c r="E458" s="53" t="s">
        <v>420</v>
      </c>
      <c r="F458" s="55">
        <f>F459</f>
        <v>2190.3</v>
      </c>
      <c r="G458" s="55">
        <f>G459</f>
        <v>2190.3</v>
      </c>
      <c r="H458" s="55">
        <f>H459</f>
        <v>2190.3</v>
      </c>
      <c r="I458" s="18"/>
      <c r="J458" s="18"/>
      <c r="K458" s="18">
        <v>-118.1</v>
      </c>
      <c r="M458" s="41">
        <v>-0.1</v>
      </c>
      <c r="O458" s="18"/>
      <c r="P458" s="101"/>
    </row>
    <row r="459" spans="1:16" s="15" customFormat="1" ht="20.25" customHeight="1">
      <c r="A459" s="53" t="s">
        <v>518</v>
      </c>
      <c r="B459" s="68" t="s">
        <v>47</v>
      </c>
      <c r="C459" s="53" t="s">
        <v>616</v>
      </c>
      <c r="D459" s="53" t="s">
        <v>128</v>
      </c>
      <c r="E459" s="53" t="s">
        <v>129</v>
      </c>
      <c r="F459" s="48">
        <v>2190.3</v>
      </c>
      <c r="G459" s="48">
        <v>2190.3</v>
      </c>
      <c r="H459" s="48">
        <v>2190.3</v>
      </c>
      <c r="I459" s="18"/>
      <c r="J459" s="18"/>
      <c r="K459" s="18"/>
      <c r="O459" s="18"/>
      <c r="P459" s="101"/>
    </row>
    <row r="460" spans="1:16" s="15" customFormat="1" ht="31.5" customHeight="1">
      <c r="A460" s="53" t="s">
        <v>519</v>
      </c>
      <c r="B460" s="52" t="s">
        <v>16</v>
      </c>
      <c r="C460" s="53" t="s">
        <v>616</v>
      </c>
      <c r="D460" s="53" t="s">
        <v>11</v>
      </c>
      <c r="E460" s="53" t="s">
        <v>420</v>
      </c>
      <c r="F460" s="55">
        <f>F461</f>
        <v>331.8</v>
      </c>
      <c r="G460" s="55">
        <f>G461</f>
        <v>150</v>
      </c>
      <c r="H460" s="55">
        <f>H461</f>
        <v>150</v>
      </c>
      <c r="I460" s="18"/>
      <c r="J460" s="18"/>
      <c r="K460" s="18"/>
      <c r="M460" s="41">
        <v>0.7</v>
      </c>
      <c r="O460" s="18"/>
      <c r="P460" s="101"/>
    </row>
    <row r="461" spans="1:16" s="15" customFormat="1" ht="31.5" customHeight="1">
      <c r="A461" s="53" t="s">
        <v>945</v>
      </c>
      <c r="B461" s="74" t="s">
        <v>17</v>
      </c>
      <c r="C461" s="53" t="s">
        <v>616</v>
      </c>
      <c r="D461" s="53" t="s">
        <v>7</v>
      </c>
      <c r="E461" s="53" t="s">
        <v>129</v>
      </c>
      <c r="F461" s="48">
        <v>331.8</v>
      </c>
      <c r="G461" s="48">
        <v>150</v>
      </c>
      <c r="H461" s="48">
        <v>150</v>
      </c>
      <c r="I461" s="18"/>
      <c r="J461" s="18"/>
      <c r="K461" s="18"/>
      <c r="O461" s="18"/>
      <c r="P461" s="101"/>
    </row>
    <row r="462" spans="1:16" s="15" customFormat="1" ht="22.5" customHeight="1">
      <c r="A462" s="53" t="s">
        <v>946</v>
      </c>
      <c r="B462" s="68" t="s">
        <v>119</v>
      </c>
      <c r="C462" s="53" t="s">
        <v>616</v>
      </c>
      <c r="D462" s="53" t="s">
        <v>122</v>
      </c>
      <c r="E462" s="53" t="s">
        <v>420</v>
      </c>
      <c r="F462" s="48">
        <f>F463</f>
        <v>1.2</v>
      </c>
      <c r="G462" s="48">
        <f>G463</f>
        <v>0.1</v>
      </c>
      <c r="H462" s="48">
        <f>H463</f>
        <v>0.1</v>
      </c>
      <c r="I462" s="18"/>
      <c r="J462" s="18"/>
      <c r="K462" s="18"/>
      <c r="O462" s="18"/>
      <c r="P462" s="101"/>
    </row>
    <row r="463" spans="1:16" s="15" customFormat="1" ht="20.25" customHeight="1">
      <c r="A463" s="53" t="s">
        <v>947</v>
      </c>
      <c r="B463" s="68" t="s">
        <v>120</v>
      </c>
      <c r="C463" s="53" t="s">
        <v>616</v>
      </c>
      <c r="D463" s="53" t="s">
        <v>123</v>
      </c>
      <c r="E463" s="53" t="s">
        <v>129</v>
      </c>
      <c r="F463" s="48">
        <v>1.2</v>
      </c>
      <c r="G463" s="48">
        <v>0.1</v>
      </c>
      <c r="H463" s="48">
        <v>0.1</v>
      </c>
      <c r="I463" s="18"/>
      <c r="J463" s="18"/>
      <c r="K463" s="18"/>
      <c r="M463" s="41">
        <v>150</v>
      </c>
      <c r="O463" s="18"/>
      <c r="P463" s="101"/>
    </row>
    <row r="464" spans="1:16" s="15" customFormat="1" ht="84.75" customHeight="1">
      <c r="A464" s="53" t="s">
        <v>520</v>
      </c>
      <c r="B464" s="69" t="s">
        <v>1080</v>
      </c>
      <c r="C464" s="53" t="s">
        <v>1079</v>
      </c>
      <c r="D464" s="53"/>
      <c r="E464" s="53"/>
      <c r="F464" s="48">
        <f aca="true" t="shared" si="48" ref="F464:H465">F465</f>
        <v>186.1</v>
      </c>
      <c r="G464" s="48">
        <f t="shared" si="48"/>
        <v>0</v>
      </c>
      <c r="H464" s="48">
        <f t="shared" si="48"/>
        <v>0</v>
      </c>
      <c r="I464" s="18"/>
      <c r="J464" s="18"/>
      <c r="K464" s="18"/>
      <c r="M464" s="41"/>
      <c r="O464" s="18"/>
      <c r="P464" s="101"/>
    </row>
    <row r="465" spans="1:16" s="15" customFormat="1" ht="56.25" customHeight="1">
      <c r="A465" s="53" t="s">
        <v>521</v>
      </c>
      <c r="B465" s="68" t="s">
        <v>46</v>
      </c>
      <c r="C465" s="53" t="s">
        <v>1079</v>
      </c>
      <c r="D465" s="53" t="s">
        <v>44</v>
      </c>
      <c r="E465" s="53" t="s">
        <v>420</v>
      </c>
      <c r="F465" s="48">
        <f t="shared" si="48"/>
        <v>186.1</v>
      </c>
      <c r="G465" s="48">
        <f t="shared" si="48"/>
        <v>0</v>
      </c>
      <c r="H465" s="48">
        <f t="shared" si="48"/>
        <v>0</v>
      </c>
      <c r="I465" s="18"/>
      <c r="J465" s="18"/>
      <c r="K465" s="18"/>
      <c r="M465" s="41"/>
      <c r="O465" s="18"/>
      <c r="P465" s="101"/>
    </row>
    <row r="466" spans="1:16" s="15" customFormat="1" ht="20.25" customHeight="1">
      <c r="A466" s="53" t="s">
        <v>522</v>
      </c>
      <c r="B466" s="68" t="s">
        <v>47</v>
      </c>
      <c r="C466" s="53" t="s">
        <v>1079</v>
      </c>
      <c r="D466" s="53" t="s">
        <v>128</v>
      </c>
      <c r="E466" s="53" t="s">
        <v>129</v>
      </c>
      <c r="F466" s="48">
        <v>186.1</v>
      </c>
      <c r="G466" s="48">
        <v>0</v>
      </c>
      <c r="H466" s="48">
        <v>0</v>
      </c>
      <c r="I466" s="18"/>
      <c r="J466" s="18"/>
      <c r="K466" s="18"/>
      <c r="M466" s="41"/>
      <c r="O466" s="18"/>
      <c r="P466" s="106">
        <v>186.1</v>
      </c>
    </row>
    <row r="467" spans="1:16" s="15" customFormat="1" ht="81.75" customHeight="1">
      <c r="A467" s="53" t="s">
        <v>948</v>
      </c>
      <c r="B467" s="52" t="s">
        <v>384</v>
      </c>
      <c r="C467" s="53" t="s">
        <v>218</v>
      </c>
      <c r="D467" s="53"/>
      <c r="E467" s="53"/>
      <c r="F467" s="55">
        <f>F468+F470</f>
        <v>170.7</v>
      </c>
      <c r="G467" s="55">
        <f>G468+G470</f>
        <v>147.3</v>
      </c>
      <c r="H467" s="55">
        <f>H468+H470</f>
        <v>147.3</v>
      </c>
      <c r="I467" s="18"/>
      <c r="J467" s="18"/>
      <c r="K467" s="18"/>
      <c r="O467" s="18"/>
      <c r="P467" s="101"/>
    </row>
    <row r="468" spans="1:16" s="15" customFormat="1" ht="57.75" customHeight="1">
      <c r="A468" s="53" t="s">
        <v>949</v>
      </c>
      <c r="B468" s="68" t="s">
        <v>46</v>
      </c>
      <c r="C468" s="53" t="s">
        <v>218</v>
      </c>
      <c r="D468" s="53" t="s">
        <v>44</v>
      </c>
      <c r="E468" s="53" t="s">
        <v>420</v>
      </c>
      <c r="F468" s="55">
        <f>F469</f>
        <v>146.1</v>
      </c>
      <c r="G468" s="55">
        <f>G469</f>
        <v>122.7</v>
      </c>
      <c r="H468" s="55">
        <f>H469</f>
        <v>122.7</v>
      </c>
      <c r="I468" s="18"/>
      <c r="J468" s="18"/>
      <c r="K468" s="18"/>
      <c r="O468" s="18"/>
      <c r="P468" s="101"/>
    </row>
    <row r="469" spans="1:16" s="15" customFormat="1" ht="22.5" customHeight="1">
      <c r="A469" s="53" t="s">
        <v>950</v>
      </c>
      <c r="B469" s="68" t="s">
        <v>47</v>
      </c>
      <c r="C469" s="53" t="s">
        <v>218</v>
      </c>
      <c r="D469" s="53" t="s">
        <v>128</v>
      </c>
      <c r="E469" s="53" t="s">
        <v>129</v>
      </c>
      <c r="F469" s="48">
        <f>122.7+23.4</f>
        <v>146.1</v>
      </c>
      <c r="G469" s="48">
        <v>122.7</v>
      </c>
      <c r="H469" s="48">
        <v>122.7</v>
      </c>
      <c r="I469" s="18"/>
      <c r="J469" s="18"/>
      <c r="K469" s="18"/>
      <c r="O469" s="18"/>
      <c r="P469" s="106">
        <v>23.4</v>
      </c>
    </row>
    <row r="470" spans="1:16" s="15" customFormat="1" ht="30.75" customHeight="1">
      <c r="A470" s="53" t="s">
        <v>951</v>
      </c>
      <c r="B470" s="52" t="s">
        <v>16</v>
      </c>
      <c r="C470" s="53" t="s">
        <v>218</v>
      </c>
      <c r="D470" s="53" t="s">
        <v>11</v>
      </c>
      <c r="E470" s="53" t="s">
        <v>420</v>
      </c>
      <c r="F470" s="55">
        <f>F471</f>
        <v>24.6</v>
      </c>
      <c r="G470" s="55">
        <f>G471</f>
        <v>24.6</v>
      </c>
      <c r="H470" s="55">
        <f>H471</f>
        <v>24.6</v>
      </c>
      <c r="I470" s="18"/>
      <c r="J470" s="18"/>
      <c r="K470" s="18"/>
      <c r="O470" s="18"/>
      <c r="P470" s="101"/>
    </row>
    <row r="471" spans="1:16" s="15" customFormat="1" ht="30" customHeight="1">
      <c r="A471" s="53" t="s">
        <v>952</v>
      </c>
      <c r="B471" s="52" t="s">
        <v>17</v>
      </c>
      <c r="C471" s="53" t="s">
        <v>218</v>
      </c>
      <c r="D471" s="53" t="s">
        <v>7</v>
      </c>
      <c r="E471" s="53" t="s">
        <v>129</v>
      </c>
      <c r="F471" s="48">
        <v>24.6</v>
      </c>
      <c r="G471" s="48">
        <v>24.6</v>
      </c>
      <c r="H471" s="48">
        <v>24.6</v>
      </c>
      <c r="I471" s="24"/>
      <c r="J471" s="18"/>
      <c r="K471" s="18"/>
      <c r="O471" s="18"/>
      <c r="P471" s="101"/>
    </row>
    <row r="472" spans="1:16" s="15" customFormat="1" ht="34.5" customHeight="1">
      <c r="A472" s="53" t="s">
        <v>953</v>
      </c>
      <c r="B472" s="81" t="s">
        <v>124</v>
      </c>
      <c r="C472" s="65" t="s">
        <v>216</v>
      </c>
      <c r="D472" s="65"/>
      <c r="E472" s="65"/>
      <c r="F472" s="57">
        <f>F473+F478+F489+F499+F507+F504+F494+F486+F510+F513+F481+F516+F519</f>
        <v>17355.4</v>
      </c>
      <c r="G472" s="57">
        <f>G473+G478+G489+G499+G507+G504+G494+G486+G510+G513</f>
        <v>14963.1</v>
      </c>
      <c r="H472" s="57">
        <f>H473+H478+H489+H499+H507+H504+H494+H486+H510+H513</f>
        <v>14833.6</v>
      </c>
      <c r="I472" s="24"/>
      <c r="J472" s="18"/>
      <c r="K472" s="18">
        <v>100</v>
      </c>
      <c r="O472" s="18"/>
      <c r="P472" s="101"/>
    </row>
    <row r="473" spans="1:16" s="15" customFormat="1" ht="71.25" customHeight="1">
      <c r="A473" s="53" t="s">
        <v>954</v>
      </c>
      <c r="B473" s="52" t="s">
        <v>617</v>
      </c>
      <c r="C473" s="53" t="s">
        <v>618</v>
      </c>
      <c r="D473" s="53"/>
      <c r="E473" s="53"/>
      <c r="F473" s="48">
        <f>F474+F476</f>
        <v>13890.1</v>
      </c>
      <c r="G473" s="48">
        <f>G474+G476</f>
        <v>13890.1</v>
      </c>
      <c r="H473" s="48">
        <f>H474+H476</f>
        <v>13890.1</v>
      </c>
      <c r="I473" s="24"/>
      <c r="J473" s="18"/>
      <c r="K473" s="18"/>
      <c r="O473" s="18"/>
      <c r="P473" s="101"/>
    </row>
    <row r="474" spans="1:16" s="15" customFormat="1" ht="30.75" customHeight="1">
      <c r="A474" s="53" t="s">
        <v>955</v>
      </c>
      <c r="B474" s="52" t="s">
        <v>162</v>
      </c>
      <c r="C474" s="53" t="s">
        <v>618</v>
      </c>
      <c r="D474" s="53" t="s">
        <v>31</v>
      </c>
      <c r="E474" s="53" t="s">
        <v>163</v>
      </c>
      <c r="F474" s="48">
        <f>F475</f>
        <v>11353.1</v>
      </c>
      <c r="G474" s="48">
        <f>G475</f>
        <v>11353.1</v>
      </c>
      <c r="H474" s="48">
        <f>H475</f>
        <v>11353.1</v>
      </c>
      <c r="I474" s="24"/>
      <c r="J474" s="18"/>
      <c r="K474" s="18"/>
      <c r="O474" s="18"/>
      <c r="P474" s="101"/>
    </row>
    <row r="475" spans="1:16" s="15" customFormat="1" ht="26.25" customHeight="1">
      <c r="A475" s="53" t="s">
        <v>956</v>
      </c>
      <c r="B475" s="52" t="s">
        <v>33</v>
      </c>
      <c r="C475" s="53" t="s">
        <v>618</v>
      </c>
      <c r="D475" s="53" t="s">
        <v>32</v>
      </c>
      <c r="E475" s="53" t="s">
        <v>361</v>
      </c>
      <c r="F475" s="48">
        <v>11353.1</v>
      </c>
      <c r="G475" s="48">
        <v>11353.1</v>
      </c>
      <c r="H475" s="48">
        <v>11353.1</v>
      </c>
      <c r="I475" s="24"/>
      <c r="J475" s="18"/>
      <c r="K475" s="18"/>
      <c r="O475" s="18"/>
      <c r="P475" s="101"/>
    </row>
    <row r="476" spans="1:16" s="15" customFormat="1" ht="28.5" customHeight="1">
      <c r="A476" s="53" t="s">
        <v>957</v>
      </c>
      <c r="B476" s="52" t="s">
        <v>162</v>
      </c>
      <c r="C476" s="53" t="s">
        <v>618</v>
      </c>
      <c r="D476" s="53" t="s">
        <v>31</v>
      </c>
      <c r="E476" s="53" t="s">
        <v>419</v>
      </c>
      <c r="F476" s="48">
        <f>F477</f>
        <v>2537</v>
      </c>
      <c r="G476" s="48">
        <f>G477</f>
        <v>2537</v>
      </c>
      <c r="H476" s="48">
        <f>H477</f>
        <v>2537</v>
      </c>
      <c r="I476" s="24"/>
      <c r="J476" s="18"/>
      <c r="K476" s="18"/>
      <c r="O476" s="18"/>
      <c r="P476" s="101"/>
    </row>
    <row r="477" spans="1:16" s="15" customFormat="1" ht="18.75" customHeight="1">
      <c r="A477" s="53" t="s">
        <v>958</v>
      </c>
      <c r="B477" s="52" t="s">
        <v>33</v>
      </c>
      <c r="C477" s="53" t="s">
        <v>618</v>
      </c>
      <c r="D477" s="53" t="s">
        <v>32</v>
      </c>
      <c r="E477" s="53" t="s">
        <v>439</v>
      </c>
      <c r="F477" s="48">
        <v>2537</v>
      </c>
      <c r="G477" s="48">
        <v>2537</v>
      </c>
      <c r="H477" s="48">
        <v>2537</v>
      </c>
      <c r="I477" s="24"/>
      <c r="J477" s="18"/>
      <c r="K477" s="18"/>
      <c r="O477" s="18"/>
      <c r="P477" s="101"/>
    </row>
    <row r="478" spans="1:16" s="15" customFormat="1" ht="93" customHeight="1">
      <c r="A478" s="53" t="s">
        <v>959</v>
      </c>
      <c r="B478" s="52" t="s">
        <v>640</v>
      </c>
      <c r="C478" s="53" t="s">
        <v>453</v>
      </c>
      <c r="D478" s="53"/>
      <c r="E478" s="53"/>
      <c r="F478" s="55">
        <f aca="true" t="shared" si="49" ref="F478:H487">F479</f>
        <v>462.1</v>
      </c>
      <c r="G478" s="55">
        <f t="shared" si="49"/>
        <v>462.1</v>
      </c>
      <c r="H478" s="55">
        <f t="shared" si="49"/>
        <v>462.1</v>
      </c>
      <c r="I478" s="24"/>
      <c r="J478" s="18"/>
      <c r="K478" s="18"/>
      <c r="O478" s="18"/>
      <c r="P478" s="101"/>
    </row>
    <row r="479" spans="1:16" s="15" customFormat="1" ht="31.5" customHeight="1">
      <c r="A479" s="53" t="s">
        <v>960</v>
      </c>
      <c r="B479" s="52" t="s">
        <v>162</v>
      </c>
      <c r="C479" s="53" t="s">
        <v>453</v>
      </c>
      <c r="D479" s="53" t="s">
        <v>31</v>
      </c>
      <c r="E479" s="53" t="s">
        <v>163</v>
      </c>
      <c r="F479" s="48">
        <f t="shared" si="49"/>
        <v>462.1</v>
      </c>
      <c r="G479" s="48">
        <f t="shared" si="49"/>
        <v>462.1</v>
      </c>
      <c r="H479" s="48">
        <f t="shared" si="49"/>
        <v>462.1</v>
      </c>
      <c r="I479" s="24"/>
      <c r="J479" s="18"/>
      <c r="K479" s="18"/>
      <c r="O479" s="18"/>
      <c r="P479" s="101"/>
    </row>
    <row r="480" spans="1:16" s="15" customFormat="1" ht="21.75" customHeight="1">
      <c r="A480" s="53" t="s">
        <v>961</v>
      </c>
      <c r="B480" s="52" t="s">
        <v>33</v>
      </c>
      <c r="C480" s="53" t="s">
        <v>453</v>
      </c>
      <c r="D480" s="53" t="s">
        <v>32</v>
      </c>
      <c r="E480" s="53" t="s">
        <v>361</v>
      </c>
      <c r="F480" s="48">
        <v>462.1</v>
      </c>
      <c r="G480" s="48">
        <v>462.1</v>
      </c>
      <c r="H480" s="48">
        <v>462.1</v>
      </c>
      <c r="I480" s="24"/>
      <c r="J480" s="18"/>
      <c r="K480" s="18"/>
      <c r="M480" s="41">
        <v>500</v>
      </c>
      <c r="O480" s="18"/>
      <c r="P480" s="101"/>
    </row>
    <row r="481" spans="1:16" s="15" customFormat="1" ht="88.5" customHeight="1">
      <c r="A481" s="53" t="s">
        <v>962</v>
      </c>
      <c r="B481" s="69" t="s">
        <v>1102</v>
      </c>
      <c r="C481" s="53" t="s">
        <v>1103</v>
      </c>
      <c r="D481" s="53"/>
      <c r="E481" s="53"/>
      <c r="F481" s="55">
        <f>F482+F484</f>
        <v>670.8</v>
      </c>
      <c r="G481" s="55">
        <f t="shared" si="49"/>
        <v>0</v>
      </c>
      <c r="H481" s="55">
        <f t="shared" si="49"/>
        <v>0</v>
      </c>
      <c r="I481" s="24"/>
      <c r="J481" s="18"/>
      <c r="K481" s="18"/>
      <c r="M481" s="41"/>
      <c r="O481" s="18"/>
      <c r="P481" s="101"/>
    </row>
    <row r="482" spans="1:16" s="15" customFormat="1" ht="42.75" customHeight="1">
      <c r="A482" s="53" t="s">
        <v>963</v>
      </c>
      <c r="B482" s="52" t="s">
        <v>162</v>
      </c>
      <c r="C482" s="53" t="s">
        <v>1103</v>
      </c>
      <c r="D482" s="53" t="s">
        <v>31</v>
      </c>
      <c r="E482" s="53" t="s">
        <v>163</v>
      </c>
      <c r="F482" s="48">
        <f t="shared" si="49"/>
        <v>520.8</v>
      </c>
      <c r="G482" s="48">
        <f t="shared" si="49"/>
        <v>0</v>
      </c>
      <c r="H482" s="48">
        <f t="shared" si="49"/>
        <v>0</v>
      </c>
      <c r="I482" s="24"/>
      <c r="J482" s="18"/>
      <c r="K482" s="18"/>
      <c r="M482" s="41"/>
      <c r="O482" s="18"/>
      <c r="P482" s="101"/>
    </row>
    <row r="483" spans="1:16" s="15" customFormat="1" ht="21.75" customHeight="1">
      <c r="A483" s="53" t="s">
        <v>964</v>
      </c>
      <c r="B483" s="52" t="s">
        <v>33</v>
      </c>
      <c r="C483" s="53" t="s">
        <v>1103</v>
      </c>
      <c r="D483" s="53" t="s">
        <v>32</v>
      </c>
      <c r="E483" s="53" t="s">
        <v>361</v>
      </c>
      <c r="F483" s="48">
        <v>520.8</v>
      </c>
      <c r="G483" s="48">
        <v>0</v>
      </c>
      <c r="H483" s="48">
        <v>0</v>
      </c>
      <c r="I483" s="24"/>
      <c r="J483" s="18"/>
      <c r="K483" s="18"/>
      <c r="M483" s="41"/>
      <c r="O483" s="18"/>
      <c r="P483" s="106">
        <v>520.8</v>
      </c>
    </row>
    <row r="484" spans="1:16" s="15" customFormat="1" ht="35.25" customHeight="1">
      <c r="A484" s="53" t="s">
        <v>965</v>
      </c>
      <c r="B484" s="52" t="s">
        <v>162</v>
      </c>
      <c r="C484" s="53" t="s">
        <v>1103</v>
      </c>
      <c r="D484" s="53" t="s">
        <v>31</v>
      </c>
      <c r="E484" s="53" t="s">
        <v>419</v>
      </c>
      <c r="F484" s="48">
        <f t="shared" si="49"/>
        <v>150</v>
      </c>
      <c r="G484" s="48">
        <f t="shared" si="49"/>
        <v>0</v>
      </c>
      <c r="H484" s="48">
        <f t="shared" si="49"/>
        <v>0</v>
      </c>
      <c r="I484" s="24"/>
      <c r="J484" s="18"/>
      <c r="K484" s="18"/>
      <c r="M484" s="41"/>
      <c r="O484" s="18"/>
      <c r="P484" s="101"/>
    </row>
    <row r="485" spans="1:16" s="15" customFormat="1" ht="21.75" customHeight="1">
      <c r="A485" s="53" t="s">
        <v>966</v>
      </c>
      <c r="B485" s="52" t="s">
        <v>33</v>
      </c>
      <c r="C485" s="53" t="s">
        <v>1103</v>
      </c>
      <c r="D485" s="53" t="s">
        <v>32</v>
      </c>
      <c r="E485" s="53" t="s">
        <v>439</v>
      </c>
      <c r="F485" s="48">
        <v>150</v>
      </c>
      <c r="G485" s="48">
        <v>0</v>
      </c>
      <c r="H485" s="48">
        <v>0</v>
      </c>
      <c r="I485" s="24"/>
      <c r="J485" s="18"/>
      <c r="K485" s="18"/>
      <c r="M485" s="41"/>
      <c r="O485" s="18"/>
      <c r="P485" s="106">
        <v>150</v>
      </c>
    </row>
    <row r="486" spans="1:16" s="15" customFormat="1" ht="83.25" customHeight="1">
      <c r="A486" s="53" t="s">
        <v>967</v>
      </c>
      <c r="B486" s="52" t="s">
        <v>854</v>
      </c>
      <c r="C486" s="53" t="s">
        <v>853</v>
      </c>
      <c r="D486" s="53"/>
      <c r="E486" s="53"/>
      <c r="F486" s="55">
        <f>F487</f>
        <v>60</v>
      </c>
      <c r="G486" s="55">
        <f>G487</f>
        <v>60</v>
      </c>
      <c r="H486" s="55">
        <f>H487</f>
        <v>60</v>
      </c>
      <c r="I486" s="24"/>
      <c r="J486" s="18"/>
      <c r="K486" s="18"/>
      <c r="M486" s="41"/>
      <c r="O486" s="18"/>
      <c r="P486" s="101"/>
    </row>
    <row r="487" spans="1:16" s="15" customFormat="1" ht="32.25" customHeight="1">
      <c r="A487" s="53" t="s">
        <v>968</v>
      </c>
      <c r="B487" s="52" t="s">
        <v>162</v>
      </c>
      <c r="C487" s="53" t="s">
        <v>853</v>
      </c>
      <c r="D487" s="53" t="s">
        <v>31</v>
      </c>
      <c r="E487" s="53" t="s">
        <v>419</v>
      </c>
      <c r="F487" s="48">
        <f t="shared" si="49"/>
        <v>60</v>
      </c>
      <c r="G487" s="48">
        <f t="shared" si="49"/>
        <v>60</v>
      </c>
      <c r="H487" s="48">
        <f t="shared" si="49"/>
        <v>60</v>
      </c>
      <c r="I487" s="24"/>
      <c r="J487" s="18"/>
      <c r="K487" s="18"/>
      <c r="M487" s="41"/>
      <c r="O487" s="18"/>
      <c r="P487" s="101"/>
    </row>
    <row r="488" spans="1:16" s="15" customFormat="1" ht="21.75" customHeight="1">
      <c r="A488" s="53" t="s">
        <v>969</v>
      </c>
      <c r="B488" s="52" t="s">
        <v>33</v>
      </c>
      <c r="C488" s="53" t="s">
        <v>853</v>
      </c>
      <c r="D488" s="53" t="s">
        <v>32</v>
      </c>
      <c r="E488" s="53" t="s">
        <v>439</v>
      </c>
      <c r="F488" s="48">
        <v>60</v>
      </c>
      <c r="G488" s="48">
        <v>60</v>
      </c>
      <c r="H488" s="48">
        <v>60</v>
      </c>
      <c r="I488" s="24"/>
      <c r="J488" s="18"/>
      <c r="K488" s="18"/>
      <c r="M488" s="41"/>
      <c r="O488" s="18"/>
      <c r="P488" s="101"/>
    </row>
    <row r="489" spans="1:16" s="15" customFormat="1" ht="87" customHeight="1">
      <c r="A489" s="53" t="s">
        <v>970</v>
      </c>
      <c r="B489" s="52" t="s">
        <v>440</v>
      </c>
      <c r="C489" s="53" t="s">
        <v>619</v>
      </c>
      <c r="D489" s="53"/>
      <c r="E489" s="53"/>
      <c r="F489" s="48">
        <f>F490+F492</f>
        <v>5</v>
      </c>
      <c r="G489" s="48">
        <f>G490+G492</f>
        <v>5</v>
      </c>
      <c r="H489" s="48">
        <f>H490+H492</f>
        <v>5</v>
      </c>
      <c r="I489" s="24"/>
      <c r="J489" s="18"/>
      <c r="K489" s="18"/>
      <c r="O489" s="18"/>
      <c r="P489" s="101"/>
    </row>
    <row r="490" spans="1:16" s="15" customFormat="1" ht="29.25" customHeight="1">
      <c r="A490" s="53" t="s">
        <v>971</v>
      </c>
      <c r="B490" s="52" t="s">
        <v>16</v>
      </c>
      <c r="C490" s="53" t="s">
        <v>619</v>
      </c>
      <c r="D490" s="53" t="s">
        <v>11</v>
      </c>
      <c r="E490" s="53" t="s">
        <v>419</v>
      </c>
      <c r="F490" s="48">
        <f>F491</f>
        <v>0</v>
      </c>
      <c r="G490" s="48">
        <f>G491</f>
        <v>5</v>
      </c>
      <c r="H490" s="48">
        <f>H491</f>
        <v>5</v>
      </c>
      <c r="I490" s="24"/>
      <c r="J490" s="18"/>
      <c r="K490" s="18"/>
      <c r="O490" s="18"/>
      <c r="P490" s="101"/>
    </row>
    <row r="491" spans="1:16" s="15" customFormat="1" ht="32.25" customHeight="1">
      <c r="A491" s="53" t="s">
        <v>972</v>
      </c>
      <c r="B491" s="52" t="s">
        <v>17</v>
      </c>
      <c r="C491" s="53" t="s">
        <v>619</v>
      </c>
      <c r="D491" s="53" t="s">
        <v>7</v>
      </c>
      <c r="E491" s="53" t="s">
        <v>439</v>
      </c>
      <c r="F491" s="48">
        <f>5-5</f>
        <v>0</v>
      </c>
      <c r="G491" s="48">
        <v>5</v>
      </c>
      <c r="H491" s="48">
        <v>5</v>
      </c>
      <c r="I491" s="24"/>
      <c r="J491" s="18"/>
      <c r="K491" s="18"/>
      <c r="O491" s="18"/>
      <c r="P491" s="106">
        <v>-5</v>
      </c>
    </row>
    <row r="492" spans="1:16" s="15" customFormat="1" ht="32.25" customHeight="1">
      <c r="A492" s="53" t="s">
        <v>973</v>
      </c>
      <c r="B492" s="52" t="s">
        <v>162</v>
      </c>
      <c r="C492" s="53" t="s">
        <v>619</v>
      </c>
      <c r="D492" s="53" t="s">
        <v>31</v>
      </c>
      <c r="E492" s="53" t="s">
        <v>419</v>
      </c>
      <c r="F492" s="48">
        <f>F493</f>
        <v>5</v>
      </c>
      <c r="G492" s="48">
        <f>G493</f>
        <v>0</v>
      </c>
      <c r="H492" s="48">
        <f>H493</f>
        <v>0</v>
      </c>
      <c r="I492" s="24"/>
      <c r="J492" s="18"/>
      <c r="K492" s="18"/>
      <c r="O492" s="18"/>
      <c r="P492" s="101"/>
    </row>
    <row r="493" spans="1:16" s="15" customFormat="1" ht="32.25" customHeight="1">
      <c r="A493" s="53" t="s">
        <v>974</v>
      </c>
      <c r="B493" s="52" t="s">
        <v>33</v>
      </c>
      <c r="C493" s="53" t="s">
        <v>619</v>
      </c>
      <c r="D493" s="53" t="s">
        <v>32</v>
      </c>
      <c r="E493" s="53" t="s">
        <v>439</v>
      </c>
      <c r="F493" s="48">
        <v>5</v>
      </c>
      <c r="G493" s="48">
        <v>0</v>
      </c>
      <c r="H493" s="48">
        <v>0</v>
      </c>
      <c r="I493" s="24"/>
      <c r="J493" s="18"/>
      <c r="K493" s="18"/>
      <c r="O493" s="18"/>
      <c r="P493" s="106">
        <v>5</v>
      </c>
    </row>
    <row r="494" spans="1:16" s="15" customFormat="1" ht="84" customHeight="1">
      <c r="A494" s="53" t="s">
        <v>826</v>
      </c>
      <c r="B494" s="52" t="s">
        <v>1046</v>
      </c>
      <c r="C494" s="53" t="s">
        <v>620</v>
      </c>
      <c r="D494" s="25"/>
      <c r="E494" s="53"/>
      <c r="F494" s="48">
        <f>F495+F497</f>
        <v>1520.9</v>
      </c>
      <c r="G494" s="48">
        <f aca="true" t="shared" si="50" ref="F494:H497">G495</f>
        <v>0</v>
      </c>
      <c r="H494" s="48">
        <f t="shared" si="50"/>
        <v>0</v>
      </c>
      <c r="I494" s="24"/>
      <c r="J494" s="18"/>
      <c r="K494" s="18"/>
      <c r="O494" s="18"/>
      <c r="P494" s="101"/>
    </row>
    <row r="495" spans="1:16" s="15" customFormat="1" ht="32.25" customHeight="1">
      <c r="A495" s="53" t="s">
        <v>827</v>
      </c>
      <c r="B495" s="52" t="s">
        <v>16</v>
      </c>
      <c r="C495" s="53" t="s">
        <v>620</v>
      </c>
      <c r="D495" s="53" t="s">
        <v>11</v>
      </c>
      <c r="E495" s="53" t="s">
        <v>419</v>
      </c>
      <c r="F495" s="48">
        <f t="shared" si="50"/>
        <v>1360.9</v>
      </c>
      <c r="G495" s="48">
        <f t="shared" si="50"/>
        <v>0</v>
      </c>
      <c r="H495" s="48">
        <f t="shared" si="50"/>
        <v>0</v>
      </c>
      <c r="I495" s="24"/>
      <c r="J495" s="18"/>
      <c r="K495" s="18"/>
      <c r="O495" s="18"/>
      <c r="P495" s="101"/>
    </row>
    <row r="496" spans="1:16" s="15" customFormat="1" ht="34.5" customHeight="1">
      <c r="A496" s="53" t="s">
        <v>828</v>
      </c>
      <c r="B496" s="52" t="s">
        <v>17</v>
      </c>
      <c r="C496" s="53" t="s">
        <v>620</v>
      </c>
      <c r="D496" s="53" t="s">
        <v>7</v>
      </c>
      <c r="E496" s="53" t="s">
        <v>439</v>
      </c>
      <c r="F496" s="48">
        <v>1360.9</v>
      </c>
      <c r="G496" s="48">
        <v>0</v>
      </c>
      <c r="H496" s="48">
        <v>0</v>
      </c>
      <c r="I496" s="24"/>
      <c r="J496" s="18"/>
      <c r="K496" s="18">
        <v>20</v>
      </c>
      <c r="O496" s="18"/>
      <c r="P496" s="101"/>
    </row>
    <row r="497" spans="1:16" s="15" customFormat="1" ht="34.5" customHeight="1">
      <c r="A497" s="53" t="s">
        <v>975</v>
      </c>
      <c r="B497" s="52" t="s">
        <v>162</v>
      </c>
      <c r="C497" s="53" t="s">
        <v>620</v>
      </c>
      <c r="D497" s="53" t="s">
        <v>31</v>
      </c>
      <c r="E497" s="53" t="s">
        <v>163</v>
      </c>
      <c r="F497" s="48">
        <f t="shared" si="50"/>
        <v>160</v>
      </c>
      <c r="G497" s="48">
        <f t="shared" si="50"/>
        <v>0</v>
      </c>
      <c r="H497" s="48">
        <f t="shared" si="50"/>
        <v>0</v>
      </c>
      <c r="I497" s="24"/>
      <c r="J497" s="18"/>
      <c r="K497" s="18"/>
      <c r="O497" s="18"/>
      <c r="P497" s="101"/>
    </row>
    <row r="498" spans="1:16" s="15" customFormat="1" ht="34.5" customHeight="1">
      <c r="A498" s="53" t="s">
        <v>976</v>
      </c>
      <c r="B498" s="52" t="s">
        <v>33</v>
      </c>
      <c r="C498" s="53" t="s">
        <v>620</v>
      </c>
      <c r="D498" s="53" t="s">
        <v>32</v>
      </c>
      <c r="E498" s="53" t="s">
        <v>361</v>
      </c>
      <c r="F498" s="48">
        <v>160</v>
      </c>
      <c r="G498" s="48">
        <v>0</v>
      </c>
      <c r="H498" s="48">
        <v>0</v>
      </c>
      <c r="I498" s="24"/>
      <c r="J498" s="18"/>
      <c r="K498" s="18"/>
      <c r="O498" s="18"/>
      <c r="P498" s="101"/>
    </row>
    <row r="499" spans="1:16" s="15" customFormat="1" ht="74.25" customHeight="1">
      <c r="A499" s="53" t="s">
        <v>977</v>
      </c>
      <c r="B499" s="52" t="s">
        <v>441</v>
      </c>
      <c r="C499" s="53" t="s">
        <v>621</v>
      </c>
      <c r="D499" s="25"/>
      <c r="E499" s="53"/>
      <c r="F499" s="48">
        <f>F500+F502</f>
        <v>45</v>
      </c>
      <c r="G499" s="48">
        <f aca="true" t="shared" si="51" ref="F499:H502">G500</f>
        <v>45</v>
      </c>
      <c r="H499" s="48">
        <f t="shared" si="51"/>
        <v>45</v>
      </c>
      <c r="I499" s="24"/>
      <c r="J499" s="18"/>
      <c r="K499" s="18"/>
      <c r="O499" s="18"/>
      <c r="P499" s="101"/>
    </row>
    <row r="500" spans="1:16" s="15" customFormat="1" ht="32.25" customHeight="1">
      <c r="A500" s="53" t="s">
        <v>111</v>
      </c>
      <c r="B500" s="52" t="s">
        <v>16</v>
      </c>
      <c r="C500" s="53" t="s">
        <v>621</v>
      </c>
      <c r="D500" s="53" t="s">
        <v>11</v>
      </c>
      <c r="E500" s="53" t="s">
        <v>419</v>
      </c>
      <c r="F500" s="48">
        <f t="shared" si="51"/>
        <v>0</v>
      </c>
      <c r="G500" s="48">
        <f t="shared" si="51"/>
        <v>45</v>
      </c>
      <c r="H500" s="48">
        <f t="shared" si="51"/>
        <v>45</v>
      </c>
      <c r="I500" s="24"/>
      <c r="J500" s="18"/>
      <c r="K500" s="18"/>
      <c r="O500" s="18"/>
      <c r="P500" s="101"/>
    </row>
    <row r="501" spans="1:16" s="15" customFormat="1" ht="38.25" customHeight="1">
      <c r="A501" s="53" t="s">
        <v>350</v>
      </c>
      <c r="B501" s="52" t="s">
        <v>17</v>
      </c>
      <c r="C501" s="53" t="s">
        <v>621</v>
      </c>
      <c r="D501" s="53" t="s">
        <v>7</v>
      </c>
      <c r="E501" s="53" t="s">
        <v>439</v>
      </c>
      <c r="F501" s="48">
        <f>45-45</f>
        <v>0</v>
      </c>
      <c r="G501" s="48">
        <v>45</v>
      </c>
      <c r="H501" s="48">
        <v>45</v>
      </c>
      <c r="I501" s="24"/>
      <c r="J501" s="18"/>
      <c r="K501" s="18">
        <v>69.6</v>
      </c>
      <c r="O501" s="18"/>
      <c r="P501" s="106">
        <v>-45</v>
      </c>
    </row>
    <row r="502" spans="1:16" s="15" customFormat="1" ht="38.25" customHeight="1">
      <c r="A502" s="53" t="s">
        <v>523</v>
      </c>
      <c r="B502" s="52" t="s">
        <v>162</v>
      </c>
      <c r="C502" s="53" t="s">
        <v>621</v>
      </c>
      <c r="D502" s="53" t="s">
        <v>31</v>
      </c>
      <c r="E502" s="53" t="s">
        <v>419</v>
      </c>
      <c r="F502" s="48">
        <f t="shared" si="51"/>
        <v>45</v>
      </c>
      <c r="G502" s="48">
        <f t="shared" si="51"/>
        <v>0</v>
      </c>
      <c r="H502" s="48">
        <f t="shared" si="51"/>
        <v>0</v>
      </c>
      <c r="I502" s="24"/>
      <c r="J502" s="18"/>
      <c r="K502" s="18"/>
      <c r="O502" s="18"/>
      <c r="P502" s="101"/>
    </row>
    <row r="503" spans="1:16" s="15" customFormat="1" ht="38.25" customHeight="1">
      <c r="A503" s="53" t="s">
        <v>524</v>
      </c>
      <c r="B503" s="52" t="s">
        <v>33</v>
      </c>
      <c r="C503" s="53" t="s">
        <v>621</v>
      </c>
      <c r="D503" s="53" t="s">
        <v>32</v>
      </c>
      <c r="E503" s="53" t="s">
        <v>439</v>
      </c>
      <c r="F503" s="48">
        <v>45</v>
      </c>
      <c r="G503" s="48">
        <v>0</v>
      </c>
      <c r="H503" s="48">
        <v>0</v>
      </c>
      <c r="I503" s="24"/>
      <c r="J503" s="18"/>
      <c r="K503" s="18"/>
      <c r="O503" s="18"/>
      <c r="P503" s="106">
        <v>45</v>
      </c>
    </row>
    <row r="504" spans="1:16" s="15" customFormat="1" ht="75" customHeight="1">
      <c r="A504" s="53" t="s">
        <v>525</v>
      </c>
      <c r="B504" s="77" t="s">
        <v>436</v>
      </c>
      <c r="C504" s="53" t="s">
        <v>438</v>
      </c>
      <c r="D504" s="53"/>
      <c r="E504" s="53"/>
      <c r="F504" s="48">
        <f aca="true" t="shared" si="52" ref="F504:H505">SUM(F505)</f>
        <v>212.1</v>
      </c>
      <c r="G504" s="48">
        <f t="shared" si="52"/>
        <v>212.1</v>
      </c>
      <c r="H504" s="48">
        <f t="shared" si="52"/>
        <v>212.1</v>
      </c>
      <c r="I504" s="24"/>
      <c r="J504" s="18"/>
      <c r="K504" s="18"/>
      <c r="O504" s="18"/>
      <c r="P504" s="101"/>
    </row>
    <row r="505" spans="1:16" s="15" customFormat="1" ht="38.25" customHeight="1">
      <c r="A505" s="53" t="s">
        <v>829</v>
      </c>
      <c r="B505" s="52" t="s">
        <v>162</v>
      </c>
      <c r="C505" s="53" t="s">
        <v>438</v>
      </c>
      <c r="D505" s="53" t="s">
        <v>31</v>
      </c>
      <c r="E505" s="53" t="s">
        <v>419</v>
      </c>
      <c r="F505" s="48">
        <f t="shared" si="52"/>
        <v>212.1</v>
      </c>
      <c r="G505" s="48">
        <f t="shared" si="52"/>
        <v>212.1</v>
      </c>
      <c r="H505" s="48">
        <f t="shared" si="52"/>
        <v>212.1</v>
      </c>
      <c r="I505" s="24"/>
      <c r="J505" s="18"/>
      <c r="K505" s="18"/>
      <c r="O505" s="18"/>
      <c r="P505" s="101"/>
    </row>
    <row r="506" spans="1:16" s="15" customFormat="1" ht="38.25" customHeight="1">
      <c r="A506" s="53" t="s">
        <v>830</v>
      </c>
      <c r="B506" s="52" t="s">
        <v>33</v>
      </c>
      <c r="C506" s="53" t="s">
        <v>438</v>
      </c>
      <c r="D506" s="53" t="s">
        <v>32</v>
      </c>
      <c r="E506" s="53" t="s">
        <v>175</v>
      </c>
      <c r="F506" s="48">
        <v>212.1</v>
      </c>
      <c r="G506" s="48">
        <v>212.1</v>
      </c>
      <c r="H506" s="48">
        <v>212.1</v>
      </c>
      <c r="I506" s="24"/>
      <c r="J506" s="18"/>
      <c r="K506" s="18"/>
      <c r="O506" s="18"/>
      <c r="P506" s="101"/>
    </row>
    <row r="507" spans="1:16" s="15" customFormat="1" ht="73.5" customHeight="1">
      <c r="A507" s="53" t="s">
        <v>831</v>
      </c>
      <c r="B507" s="77" t="s">
        <v>437</v>
      </c>
      <c r="C507" s="53" t="s">
        <v>438</v>
      </c>
      <c r="D507" s="53"/>
      <c r="E507" s="53"/>
      <c r="F507" s="48">
        <f aca="true" t="shared" si="53" ref="F507:H508">F508</f>
        <v>70.7</v>
      </c>
      <c r="G507" s="48">
        <f t="shared" si="53"/>
        <v>100</v>
      </c>
      <c r="H507" s="48">
        <f t="shared" si="53"/>
        <v>100</v>
      </c>
      <c r="I507" s="24"/>
      <c r="J507" s="18"/>
      <c r="K507" s="18"/>
      <c r="O507" s="18"/>
      <c r="P507" s="101"/>
    </row>
    <row r="508" spans="1:16" s="15" customFormat="1" ht="31.5" customHeight="1">
      <c r="A508" s="53" t="s">
        <v>19</v>
      </c>
      <c r="B508" s="52" t="s">
        <v>162</v>
      </c>
      <c r="C508" s="53" t="s">
        <v>438</v>
      </c>
      <c r="D508" s="53" t="s">
        <v>31</v>
      </c>
      <c r="E508" s="53" t="s">
        <v>419</v>
      </c>
      <c r="F508" s="48">
        <f t="shared" si="53"/>
        <v>70.7</v>
      </c>
      <c r="G508" s="48">
        <f t="shared" si="53"/>
        <v>100</v>
      </c>
      <c r="H508" s="48">
        <f t="shared" si="53"/>
        <v>100</v>
      </c>
      <c r="I508" s="24"/>
      <c r="J508" s="18"/>
      <c r="K508" s="18"/>
      <c r="O508" s="18"/>
      <c r="P508" s="101"/>
    </row>
    <row r="509" spans="1:16" s="15" customFormat="1" ht="21.75" customHeight="1">
      <c r="A509" s="53" t="s">
        <v>351</v>
      </c>
      <c r="B509" s="52" t="s">
        <v>33</v>
      </c>
      <c r="C509" s="53" t="s">
        <v>438</v>
      </c>
      <c r="D509" s="53" t="s">
        <v>32</v>
      </c>
      <c r="E509" s="53" t="s">
        <v>175</v>
      </c>
      <c r="F509" s="48">
        <f>100-29.3</f>
        <v>70.7</v>
      </c>
      <c r="G509" s="48">
        <v>100</v>
      </c>
      <c r="H509" s="48">
        <v>100</v>
      </c>
      <c r="I509" s="24"/>
      <c r="J509" s="18"/>
      <c r="K509" s="18"/>
      <c r="M509" s="41">
        <v>100</v>
      </c>
      <c r="O509" s="18"/>
      <c r="P509" s="101"/>
    </row>
    <row r="510" spans="1:16" s="15" customFormat="1" ht="88.5" customHeight="1">
      <c r="A510" s="53" t="s">
        <v>352</v>
      </c>
      <c r="B510" s="75" t="s">
        <v>839</v>
      </c>
      <c r="C510" s="53" t="s">
        <v>1112</v>
      </c>
      <c r="D510" s="53"/>
      <c r="E510" s="53"/>
      <c r="F510" s="48">
        <f aca="true" t="shared" si="54" ref="F510:H520">SUM(F511)</f>
        <v>166.2</v>
      </c>
      <c r="G510" s="48">
        <f t="shared" si="54"/>
        <v>184.8</v>
      </c>
      <c r="H510" s="48">
        <f t="shared" si="54"/>
        <v>57.3</v>
      </c>
      <c r="I510" s="24"/>
      <c r="J510" s="18"/>
      <c r="K510" s="18"/>
      <c r="M510" s="41"/>
      <c r="O510" s="18"/>
      <c r="P510" s="101"/>
    </row>
    <row r="511" spans="1:16" s="15" customFormat="1" ht="42.75" customHeight="1">
      <c r="A511" s="53" t="s">
        <v>978</v>
      </c>
      <c r="B511" s="52" t="s">
        <v>162</v>
      </c>
      <c r="C511" s="53" t="s">
        <v>1112</v>
      </c>
      <c r="D511" s="53" t="s">
        <v>31</v>
      </c>
      <c r="E511" s="53" t="s">
        <v>419</v>
      </c>
      <c r="F511" s="48">
        <f t="shared" si="54"/>
        <v>166.2</v>
      </c>
      <c r="G511" s="48">
        <f t="shared" si="54"/>
        <v>184.8</v>
      </c>
      <c r="H511" s="48">
        <f t="shared" si="54"/>
        <v>57.3</v>
      </c>
      <c r="I511" s="24"/>
      <c r="J511" s="18"/>
      <c r="K511" s="18"/>
      <c r="M511" s="41"/>
      <c r="O511" s="18"/>
      <c r="P511" s="101"/>
    </row>
    <row r="512" spans="1:16" s="15" customFormat="1" ht="21.75" customHeight="1">
      <c r="A512" s="53" t="s">
        <v>979</v>
      </c>
      <c r="B512" s="52" t="s">
        <v>33</v>
      </c>
      <c r="C512" s="53" t="s">
        <v>1112</v>
      </c>
      <c r="D512" s="53" t="s">
        <v>32</v>
      </c>
      <c r="E512" s="53" t="s">
        <v>175</v>
      </c>
      <c r="F512" s="48">
        <f>184.6-18.4</f>
        <v>166.2</v>
      </c>
      <c r="G512" s="48">
        <v>184.8</v>
      </c>
      <c r="H512" s="48">
        <v>57.3</v>
      </c>
      <c r="I512" s="24"/>
      <c r="J512" s="18"/>
      <c r="K512" s="18"/>
      <c r="M512" s="41"/>
      <c r="O512" s="18"/>
      <c r="P512" s="106">
        <v>-18.4</v>
      </c>
    </row>
    <row r="513" spans="1:16" s="15" customFormat="1" ht="94.5" customHeight="1">
      <c r="A513" s="53" t="s">
        <v>980</v>
      </c>
      <c r="B513" s="75" t="s">
        <v>840</v>
      </c>
      <c r="C513" s="53" t="s">
        <v>1112</v>
      </c>
      <c r="D513" s="53"/>
      <c r="E513" s="53"/>
      <c r="F513" s="48">
        <f t="shared" si="54"/>
        <v>2.5</v>
      </c>
      <c r="G513" s="48">
        <f t="shared" si="54"/>
        <v>4</v>
      </c>
      <c r="H513" s="48">
        <f t="shared" si="54"/>
        <v>2</v>
      </c>
      <c r="I513" s="24"/>
      <c r="J513" s="18"/>
      <c r="K513" s="18"/>
      <c r="M513" s="41"/>
      <c r="O513" s="18"/>
      <c r="P513" s="101"/>
    </row>
    <row r="514" spans="1:16" s="15" customFormat="1" ht="47.25" customHeight="1">
      <c r="A514" s="53" t="s">
        <v>296</v>
      </c>
      <c r="B514" s="52" t="s">
        <v>162</v>
      </c>
      <c r="C514" s="53" t="s">
        <v>1112</v>
      </c>
      <c r="D514" s="53" t="s">
        <v>31</v>
      </c>
      <c r="E514" s="53" t="s">
        <v>419</v>
      </c>
      <c r="F514" s="48">
        <f t="shared" si="54"/>
        <v>2.5</v>
      </c>
      <c r="G514" s="48">
        <f t="shared" si="54"/>
        <v>4</v>
      </c>
      <c r="H514" s="48">
        <f t="shared" si="54"/>
        <v>2</v>
      </c>
      <c r="I514" s="24"/>
      <c r="J514" s="18"/>
      <c r="K514" s="18"/>
      <c r="M514" s="41"/>
      <c r="O514" s="18"/>
      <c r="P514" s="101"/>
    </row>
    <row r="515" spans="1:16" s="15" customFormat="1" ht="21.75" customHeight="1">
      <c r="A515" s="53" t="s">
        <v>297</v>
      </c>
      <c r="B515" s="52" t="s">
        <v>33</v>
      </c>
      <c r="C515" s="53" t="s">
        <v>1112</v>
      </c>
      <c r="D515" s="53" t="s">
        <v>32</v>
      </c>
      <c r="E515" s="53" t="s">
        <v>175</v>
      </c>
      <c r="F515" s="48">
        <f>4-1.5</f>
        <v>2.5</v>
      </c>
      <c r="G515" s="48">
        <v>4</v>
      </c>
      <c r="H515" s="48">
        <v>2</v>
      </c>
      <c r="I515" s="24"/>
      <c r="J515" s="18"/>
      <c r="K515" s="18"/>
      <c r="M515" s="41"/>
      <c r="O515" s="18"/>
      <c r="P515" s="106">
        <v>-1.5</v>
      </c>
    </row>
    <row r="516" spans="1:16" s="15" customFormat="1" ht="85.5" customHeight="1">
      <c r="A516" s="53" t="s">
        <v>298</v>
      </c>
      <c r="B516" s="52" t="s">
        <v>1114</v>
      </c>
      <c r="C516" s="53" t="s">
        <v>1113</v>
      </c>
      <c r="D516" s="53"/>
      <c r="E516" s="53"/>
      <c r="F516" s="48">
        <f t="shared" si="54"/>
        <v>50</v>
      </c>
      <c r="G516" s="48">
        <f t="shared" si="54"/>
        <v>0</v>
      </c>
      <c r="H516" s="48">
        <f t="shared" si="54"/>
        <v>0</v>
      </c>
      <c r="I516" s="24"/>
      <c r="J516" s="18"/>
      <c r="K516" s="18"/>
      <c r="M516" s="41"/>
      <c r="O516" s="18"/>
      <c r="P516" s="101"/>
    </row>
    <row r="517" spans="1:16" s="15" customFormat="1" ht="38.25" customHeight="1">
      <c r="A517" s="53" t="s">
        <v>299</v>
      </c>
      <c r="B517" s="52" t="s">
        <v>162</v>
      </c>
      <c r="C517" s="53" t="s">
        <v>1113</v>
      </c>
      <c r="D517" s="53" t="s">
        <v>31</v>
      </c>
      <c r="E517" s="53" t="s">
        <v>419</v>
      </c>
      <c r="F517" s="48">
        <f t="shared" si="54"/>
        <v>50</v>
      </c>
      <c r="G517" s="48">
        <f t="shared" si="54"/>
        <v>0</v>
      </c>
      <c r="H517" s="48">
        <f t="shared" si="54"/>
        <v>0</v>
      </c>
      <c r="I517" s="24"/>
      <c r="J517" s="18"/>
      <c r="K517" s="18"/>
      <c r="M517" s="41"/>
      <c r="O517" s="18"/>
      <c r="P517" s="101"/>
    </row>
    <row r="518" spans="1:16" s="15" customFormat="1" ht="21.75" customHeight="1">
      <c r="A518" s="53" t="s">
        <v>36</v>
      </c>
      <c r="B518" s="52" t="s">
        <v>33</v>
      </c>
      <c r="C518" s="53" t="s">
        <v>1113</v>
      </c>
      <c r="D518" s="53" t="s">
        <v>32</v>
      </c>
      <c r="E518" s="53" t="s">
        <v>175</v>
      </c>
      <c r="F518" s="48">
        <v>50</v>
      </c>
      <c r="G518" s="48">
        <v>0</v>
      </c>
      <c r="H518" s="48">
        <v>0</v>
      </c>
      <c r="I518" s="24"/>
      <c r="J518" s="18"/>
      <c r="K518" s="18"/>
      <c r="M518" s="41"/>
      <c r="O518" s="18"/>
      <c r="P518" s="106">
        <v>50</v>
      </c>
    </row>
    <row r="519" spans="1:16" s="15" customFormat="1" ht="81.75" customHeight="1">
      <c r="A519" s="53" t="s">
        <v>832</v>
      </c>
      <c r="B519" s="77" t="s">
        <v>1116</v>
      </c>
      <c r="C519" s="53" t="s">
        <v>1115</v>
      </c>
      <c r="D519" s="53"/>
      <c r="E519" s="53"/>
      <c r="F519" s="48">
        <f t="shared" si="54"/>
        <v>200</v>
      </c>
      <c r="G519" s="48">
        <f t="shared" si="54"/>
        <v>0</v>
      </c>
      <c r="H519" s="48">
        <f t="shared" si="54"/>
        <v>0</v>
      </c>
      <c r="I519" s="24"/>
      <c r="J519" s="18"/>
      <c r="K519" s="18"/>
      <c r="M519" s="41"/>
      <c r="O519" s="18"/>
      <c r="P519" s="101"/>
    </row>
    <row r="520" spans="1:16" s="15" customFormat="1" ht="35.25" customHeight="1">
      <c r="A520" s="53" t="s">
        <v>833</v>
      </c>
      <c r="B520" s="52" t="s">
        <v>162</v>
      </c>
      <c r="C520" s="53" t="s">
        <v>1115</v>
      </c>
      <c r="D520" s="53" t="s">
        <v>31</v>
      </c>
      <c r="E520" s="53" t="s">
        <v>419</v>
      </c>
      <c r="F520" s="48">
        <f t="shared" si="54"/>
        <v>200</v>
      </c>
      <c r="G520" s="48">
        <f t="shared" si="54"/>
        <v>0</v>
      </c>
      <c r="H520" s="48">
        <f t="shared" si="54"/>
        <v>0</v>
      </c>
      <c r="I520" s="24"/>
      <c r="J520" s="18"/>
      <c r="K520" s="18"/>
      <c r="M520" s="41"/>
      <c r="O520" s="18"/>
      <c r="P520" s="101"/>
    </row>
    <row r="521" spans="1:16" s="15" customFormat="1" ht="21.75" customHeight="1">
      <c r="A521" s="53" t="s">
        <v>834</v>
      </c>
      <c r="B521" s="52" t="s">
        <v>33</v>
      </c>
      <c r="C521" s="53" t="s">
        <v>1115</v>
      </c>
      <c r="D521" s="53" t="s">
        <v>32</v>
      </c>
      <c r="E521" s="53" t="s">
        <v>175</v>
      </c>
      <c r="F521" s="48">
        <v>200</v>
      </c>
      <c r="G521" s="48">
        <v>0</v>
      </c>
      <c r="H521" s="48">
        <v>0</v>
      </c>
      <c r="I521" s="24"/>
      <c r="J521" s="18"/>
      <c r="K521" s="18"/>
      <c r="M521" s="41"/>
      <c r="O521" s="18"/>
      <c r="P521" s="106">
        <v>200</v>
      </c>
    </row>
    <row r="522" spans="1:16" s="15" customFormat="1" ht="32.25" customHeight="1">
      <c r="A522" s="53" t="s">
        <v>300</v>
      </c>
      <c r="B522" s="83" t="s">
        <v>316</v>
      </c>
      <c r="C522" s="63" t="s">
        <v>224</v>
      </c>
      <c r="D522" s="63"/>
      <c r="E522" s="63"/>
      <c r="F522" s="66">
        <f>F523</f>
        <v>16579.8</v>
      </c>
      <c r="G522" s="66">
        <f>G523</f>
        <v>8317.4</v>
      </c>
      <c r="H522" s="66">
        <f>H523</f>
        <v>8317.4</v>
      </c>
      <c r="I522" s="18"/>
      <c r="J522" s="18"/>
      <c r="K522" s="18"/>
      <c r="O522" s="18"/>
      <c r="P522" s="101"/>
    </row>
    <row r="523" spans="1:16" s="15" customFormat="1" ht="31.5" customHeight="1">
      <c r="A523" s="53" t="s">
        <v>301</v>
      </c>
      <c r="B523" s="81" t="s">
        <v>126</v>
      </c>
      <c r="C523" s="65" t="s">
        <v>225</v>
      </c>
      <c r="D523" s="65"/>
      <c r="E523" s="65"/>
      <c r="F523" s="57">
        <f>F539+F524+F530+F544+F527+F533+F536+F547+F550</f>
        <v>16579.8</v>
      </c>
      <c r="G523" s="57">
        <f>G539+G524+G530+G544</f>
        <v>8317.4</v>
      </c>
      <c r="H523" s="57">
        <f>H539+H524+H530+H544</f>
        <v>8317.4</v>
      </c>
      <c r="I523" s="18"/>
      <c r="J523" s="18"/>
      <c r="K523" s="18"/>
      <c r="O523" s="18"/>
      <c r="P523" s="101"/>
    </row>
    <row r="524" spans="1:16" s="15" customFormat="1" ht="68.25" customHeight="1">
      <c r="A524" s="53" t="s">
        <v>302</v>
      </c>
      <c r="B524" s="52" t="s">
        <v>624</v>
      </c>
      <c r="C524" s="53" t="s">
        <v>623</v>
      </c>
      <c r="D524" s="53"/>
      <c r="E524" s="53"/>
      <c r="F524" s="48">
        <f aca="true" t="shared" si="55" ref="F524:H525">SUM(F525)</f>
        <v>7509</v>
      </c>
      <c r="G524" s="48">
        <f t="shared" si="55"/>
        <v>6539</v>
      </c>
      <c r="H524" s="48">
        <f t="shared" si="55"/>
        <v>6539</v>
      </c>
      <c r="I524" s="18"/>
      <c r="J524" s="18"/>
      <c r="K524" s="18"/>
      <c r="O524" s="18"/>
      <c r="P524" s="101"/>
    </row>
    <row r="525" spans="1:16" s="15" customFormat="1" ht="27.75" customHeight="1">
      <c r="A525" s="53" t="s">
        <v>303</v>
      </c>
      <c r="B525" s="52" t="s">
        <v>162</v>
      </c>
      <c r="C525" s="53" t="s">
        <v>623</v>
      </c>
      <c r="D525" s="53" t="s">
        <v>31</v>
      </c>
      <c r="E525" s="53" t="s">
        <v>421</v>
      </c>
      <c r="F525" s="48">
        <f t="shared" si="55"/>
        <v>7509</v>
      </c>
      <c r="G525" s="48">
        <f t="shared" si="55"/>
        <v>6539</v>
      </c>
      <c r="H525" s="48">
        <f t="shared" si="55"/>
        <v>6539</v>
      </c>
      <c r="I525" s="18"/>
      <c r="J525" s="18"/>
      <c r="K525" s="18"/>
      <c r="O525" s="18"/>
      <c r="P525" s="101"/>
    </row>
    <row r="526" spans="1:16" s="15" customFormat="1" ht="20.25" customHeight="1">
      <c r="A526" s="53" t="s">
        <v>304</v>
      </c>
      <c r="B526" s="52" t="s">
        <v>33</v>
      </c>
      <c r="C526" s="53" t="s">
        <v>623</v>
      </c>
      <c r="D526" s="53" t="s">
        <v>32</v>
      </c>
      <c r="E526" s="53" t="s">
        <v>125</v>
      </c>
      <c r="F526" s="48">
        <f>7419+90</f>
        <v>7509</v>
      </c>
      <c r="G526" s="48">
        <v>6539</v>
      </c>
      <c r="H526" s="48">
        <v>6539</v>
      </c>
      <c r="I526" s="18"/>
      <c r="J526" s="18"/>
      <c r="K526" s="18"/>
      <c r="O526" s="18"/>
      <c r="P526" s="101"/>
    </row>
    <row r="527" spans="1:16" s="15" customFormat="1" ht="84" customHeight="1">
      <c r="A527" s="53" t="s">
        <v>305</v>
      </c>
      <c r="B527" s="52" t="s">
        <v>1119</v>
      </c>
      <c r="C527" s="53" t="s">
        <v>1118</v>
      </c>
      <c r="D527" s="53"/>
      <c r="E527" s="53"/>
      <c r="F527" s="48">
        <f aca="true" t="shared" si="56" ref="F527:H528">SUM(F528)</f>
        <v>810.4</v>
      </c>
      <c r="G527" s="48">
        <f t="shared" si="56"/>
        <v>0</v>
      </c>
      <c r="H527" s="48">
        <f t="shared" si="56"/>
        <v>0</v>
      </c>
      <c r="I527" s="18"/>
      <c r="J527" s="18"/>
      <c r="K527" s="18"/>
      <c r="O527" s="18"/>
      <c r="P527" s="101"/>
    </row>
    <row r="528" spans="1:16" s="15" customFormat="1" ht="42.75" customHeight="1">
      <c r="A528" s="53" t="s">
        <v>981</v>
      </c>
      <c r="B528" s="52" t="s">
        <v>162</v>
      </c>
      <c r="C528" s="53" t="s">
        <v>1118</v>
      </c>
      <c r="D528" s="53" t="s">
        <v>31</v>
      </c>
      <c r="E528" s="53" t="s">
        <v>421</v>
      </c>
      <c r="F528" s="48">
        <f>SUM(F529)</f>
        <v>810.4</v>
      </c>
      <c r="G528" s="48">
        <f t="shared" si="56"/>
        <v>0</v>
      </c>
      <c r="H528" s="48">
        <f t="shared" si="56"/>
        <v>0</v>
      </c>
      <c r="I528" s="18"/>
      <c r="J528" s="18"/>
      <c r="K528" s="18"/>
      <c r="O528" s="18"/>
      <c r="P528" s="101"/>
    </row>
    <row r="529" spans="1:16" s="15" customFormat="1" ht="20.25" customHeight="1">
      <c r="A529" s="53" t="s">
        <v>982</v>
      </c>
      <c r="B529" s="52" t="s">
        <v>33</v>
      </c>
      <c r="C529" s="53" t="s">
        <v>1118</v>
      </c>
      <c r="D529" s="53" t="s">
        <v>32</v>
      </c>
      <c r="E529" s="53" t="s">
        <v>125</v>
      </c>
      <c r="F529" s="48">
        <v>810.4</v>
      </c>
      <c r="G529" s="48">
        <v>0</v>
      </c>
      <c r="H529" s="48">
        <v>0</v>
      </c>
      <c r="I529" s="18"/>
      <c r="J529" s="18"/>
      <c r="K529" s="18"/>
      <c r="O529" s="18"/>
      <c r="P529" s="106">
        <v>810.4</v>
      </c>
    </row>
    <row r="530" spans="1:16" s="15" customFormat="1" ht="96" customHeight="1">
      <c r="A530" s="53" t="s">
        <v>983</v>
      </c>
      <c r="B530" s="52" t="s">
        <v>642</v>
      </c>
      <c r="C530" s="53" t="s">
        <v>463</v>
      </c>
      <c r="D530" s="53"/>
      <c r="E530" s="53"/>
      <c r="F530" s="48">
        <f aca="true" t="shared" si="57" ref="F530:H531">SUM(F531)</f>
        <v>1408.4</v>
      </c>
      <c r="G530" s="48">
        <f t="shared" si="57"/>
        <v>1408.4</v>
      </c>
      <c r="H530" s="48">
        <f t="shared" si="57"/>
        <v>1408.4</v>
      </c>
      <c r="I530" s="18"/>
      <c r="J530" s="18"/>
      <c r="K530" s="18"/>
      <c r="O530" s="18"/>
      <c r="P530" s="101"/>
    </row>
    <row r="531" spans="1:16" s="15" customFormat="1" ht="28.5" customHeight="1">
      <c r="A531" s="53" t="s">
        <v>306</v>
      </c>
      <c r="B531" s="52" t="s">
        <v>162</v>
      </c>
      <c r="C531" s="53" t="s">
        <v>463</v>
      </c>
      <c r="D531" s="53" t="s">
        <v>31</v>
      </c>
      <c r="E531" s="53" t="s">
        <v>421</v>
      </c>
      <c r="F531" s="48">
        <f>SUM(F532)</f>
        <v>1408.4</v>
      </c>
      <c r="G531" s="48">
        <f t="shared" si="57"/>
        <v>1408.4</v>
      </c>
      <c r="H531" s="48">
        <f t="shared" si="57"/>
        <v>1408.4</v>
      </c>
      <c r="I531" s="18"/>
      <c r="J531" s="18"/>
      <c r="K531" s="18"/>
      <c r="O531" s="18"/>
      <c r="P531" s="101"/>
    </row>
    <row r="532" spans="1:16" s="15" customFormat="1" ht="18.75" customHeight="1">
      <c r="A532" s="53" t="s">
        <v>353</v>
      </c>
      <c r="B532" s="52" t="s">
        <v>33</v>
      </c>
      <c r="C532" s="53" t="s">
        <v>463</v>
      </c>
      <c r="D532" s="53" t="s">
        <v>32</v>
      </c>
      <c r="E532" s="53" t="s">
        <v>125</v>
      </c>
      <c r="F532" s="48">
        <v>1408.4</v>
      </c>
      <c r="G532" s="48">
        <v>1408.4</v>
      </c>
      <c r="H532" s="48">
        <v>1408.4</v>
      </c>
      <c r="I532" s="18"/>
      <c r="J532" s="18"/>
      <c r="K532" s="18"/>
      <c r="M532" s="41">
        <v>200</v>
      </c>
      <c r="O532" s="18"/>
      <c r="P532" s="101"/>
    </row>
    <row r="533" spans="1:16" s="15" customFormat="1" ht="90.75" customHeight="1">
      <c r="A533" s="53" t="s">
        <v>380</v>
      </c>
      <c r="B533" s="69" t="s">
        <v>1121</v>
      </c>
      <c r="C533" s="53" t="s">
        <v>1120</v>
      </c>
      <c r="D533" s="53"/>
      <c r="E533" s="53"/>
      <c r="F533" s="48">
        <f aca="true" t="shared" si="58" ref="F533:H537">SUM(F534)</f>
        <v>600</v>
      </c>
      <c r="G533" s="48">
        <f t="shared" si="58"/>
        <v>0</v>
      </c>
      <c r="H533" s="48">
        <f t="shared" si="58"/>
        <v>0</v>
      </c>
      <c r="I533" s="18"/>
      <c r="J533" s="18"/>
      <c r="K533" s="18"/>
      <c r="M533" s="41"/>
      <c r="O533" s="18"/>
      <c r="P533" s="101"/>
    </row>
    <row r="534" spans="1:16" s="15" customFormat="1" ht="41.25" customHeight="1">
      <c r="A534" s="53" t="s">
        <v>354</v>
      </c>
      <c r="B534" s="52" t="s">
        <v>162</v>
      </c>
      <c r="C534" s="53" t="s">
        <v>1120</v>
      </c>
      <c r="D534" s="53" t="s">
        <v>31</v>
      </c>
      <c r="E534" s="53" t="s">
        <v>421</v>
      </c>
      <c r="F534" s="48">
        <f>SUM(F535)</f>
        <v>600</v>
      </c>
      <c r="G534" s="48">
        <f t="shared" si="58"/>
        <v>0</v>
      </c>
      <c r="H534" s="48">
        <f t="shared" si="58"/>
        <v>0</v>
      </c>
      <c r="I534" s="18"/>
      <c r="J534" s="18"/>
      <c r="K534" s="18"/>
      <c r="M534" s="41"/>
      <c r="O534" s="18"/>
      <c r="P534" s="101"/>
    </row>
    <row r="535" spans="1:16" s="15" customFormat="1" ht="18.75" customHeight="1">
      <c r="A535" s="53" t="s">
        <v>355</v>
      </c>
      <c r="B535" s="52" t="s">
        <v>33</v>
      </c>
      <c r="C535" s="53" t="s">
        <v>1120</v>
      </c>
      <c r="D535" s="53" t="s">
        <v>32</v>
      </c>
      <c r="E535" s="53" t="s">
        <v>125</v>
      </c>
      <c r="F535" s="48">
        <v>600</v>
      </c>
      <c r="G535" s="48">
        <v>0</v>
      </c>
      <c r="H535" s="48">
        <v>0</v>
      </c>
      <c r="I535" s="18"/>
      <c r="J535" s="18"/>
      <c r="K535" s="18"/>
      <c r="M535" s="41"/>
      <c r="O535" s="18"/>
      <c r="P535" s="106">
        <v>600</v>
      </c>
    </row>
    <row r="536" spans="1:16" s="15" customFormat="1" ht="89.25" customHeight="1">
      <c r="A536" s="53" t="s">
        <v>984</v>
      </c>
      <c r="B536" s="52" t="s">
        <v>1123</v>
      </c>
      <c r="C536" s="53" t="s">
        <v>1122</v>
      </c>
      <c r="D536" s="53"/>
      <c r="E536" s="53"/>
      <c r="F536" s="48">
        <f t="shared" si="58"/>
        <v>672</v>
      </c>
      <c r="G536" s="48">
        <f t="shared" si="58"/>
        <v>0</v>
      </c>
      <c r="H536" s="48">
        <f t="shared" si="58"/>
        <v>0</v>
      </c>
      <c r="I536" s="18"/>
      <c r="J536" s="18"/>
      <c r="K536" s="18"/>
      <c r="M536" s="41"/>
      <c r="O536" s="18"/>
      <c r="P536" s="101"/>
    </row>
    <row r="537" spans="1:16" s="15" customFormat="1" ht="48" customHeight="1">
      <c r="A537" s="53" t="s">
        <v>985</v>
      </c>
      <c r="B537" s="52" t="s">
        <v>162</v>
      </c>
      <c r="C537" s="53" t="s">
        <v>1122</v>
      </c>
      <c r="D537" s="53" t="s">
        <v>31</v>
      </c>
      <c r="E537" s="53" t="s">
        <v>421</v>
      </c>
      <c r="F537" s="48">
        <f>SUM(F538)</f>
        <v>672</v>
      </c>
      <c r="G537" s="48">
        <f t="shared" si="58"/>
        <v>0</v>
      </c>
      <c r="H537" s="48">
        <f t="shared" si="58"/>
        <v>0</v>
      </c>
      <c r="I537" s="18"/>
      <c r="J537" s="18"/>
      <c r="K537" s="18"/>
      <c r="M537" s="41"/>
      <c r="O537" s="18"/>
      <c r="P537" s="101"/>
    </row>
    <row r="538" spans="1:16" s="15" customFormat="1" ht="18.75" customHeight="1">
      <c r="A538" s="53" t="s">
        <v>146</v>
      </c>
      <c r="B538" s="52" t="s">
        <v>33</v>
      </c>
      <c r="C538" s="53" t="s">
        <v>1122</v>
      </c>
      <c r="D538" s="53" t="s">
        <v>32</v>
      </c>
      <c r="E538" s="53" t="s">
        <v>125</v>
      </c>
      <c r="F538" s="48">
        <v>672</v>
      </c>
      <c r="G538" s="48">
        <v>0</v>
      </c>
      <c r="H538" s="48">
        <v>0</v>
      </c>
      <c r="I538" s="18"/>
      <c r="J538" s="18"/>
      <c r="K538" s="18"/>
      <c r="M538" s="41"/>
      <c r="O538" s="18"/>
      <c r="P538" s="106">
        <v>672</v>
      </c>
    </row>
    <row r="539" spans="1:16" s="15" customFormat="1" ht="72" customHeight="1">
      <c r="A539" s="53" t="s">
        <v>356</v>
      </c>
      <c r="B539" s="52" t="s">
        <v>315</v>
      </c>
      <c r="C539" s="53" t="s">
        <v>622</v>
      </c>
      <c r="D539" s="53"/>
      <c r="E539" s="53"/>
      <c r="F539" s="48">
        <f>F542+F540</f>
        <v>370</v>
      </c>
      <c r="G539" s="48">
        <f>G542+G540</f>
        <v>370</v>
      </c>
      <c r="H539" s="48">
        <f>H542+H540</f>
        <v>370</v>
      </c>
      <c r="I539" s="18"/>
      <c r="J539" s="18"/>
      <c r="K539" s="18"/>
      <c r="O539" s="18"/>
      <c r="P539" s="101"/>
    </row>
    <row r="540" spans="1:16" s="15" customFormat="1" ht="57" customHeight="1">
      <c r="A540" s="53" t="s">
        <v>357</v>
      </c>
      <c r="B540" s="68" t="s">
        <v>46</v>
      </c>
      <c r="C540" s="53" t="s">
        <v>622</v>
      </c>
      <c r="D540" s="53" t="s">
        <v>44</v>
      </c>
      <c r="E540" s="53" t="s">
        <v>421</v>
      </c>
      <c r="F540" s="48">
        <f aca="true" t="shared" si="59" ref="F540:H542">F541</f>
        <v>300</v>
      </c>
      <c r="G540" s="48">
        <f t="shared" si="59"/>
        <v>300</v>
      </c>
      <c r="H540" s="48">
        <f t="shared" si="59"/>
        <v>300</v>
      </c>
      <c r="I540" s="18"/>
      <c r="J540" s="18"/>
      <c r="K540" s="18"/>
      <c r="O540" s="18"/>
      <c r="P540" s="101"/>
    </row>
    <row r="541" spans="1:16" s="15" customFormat="1" ht="32.25" customHeight="1">
      <c r="A541" s="53" t="s">
        <v>358</v>
      </c>
      <c r="B541" s="68" t="s">
        <v>130</v>
      </c>
      <c r="C541" s="53" t="s">
        <v>622</v>
      </c>
      <c r="D541" s="53" t="s">
        <v>45</v>
      </c>
      <c r="E541" s="53" t="s">
        <v>125</v>
      </c>
      <c r="F541" s="48">
        <v>300</v>
      </c>
      <c r="G541" s="48">
        <v>300</v>
      </c>
      <c r="H541" s="48">
        <v>300</v>
      </c>
      <c r="I541" s="18"/>
      <c r="J541" s="18"/>
      <c r="K541" s="18"/>
      <c r="O541" s="18"/>
      <c r="P541" s="101"/>
    </row>
    <row r="542" spans="1:16" s="15" customFormat="1" ht="36.75" customHeight="1">
      <c r="A542" s="53" t="s">
        <v>359</v>
      </c>
      <c r="B542" s="52" t="s">
        <v>16</v>
      </c>
      <c r="C542" s="53" t="s">
        <v>622</v>
      </c>
      <c r="D542" s="53" t="s">
        <v>11</v>
      </c>
      <c r="E542" s="53" t="s">
        <v>421</v>
      </c>
      <c r="F542" s="48">
        <f t="shared" si="59"/>
        <v>70</v>
      </c>
      <c r="G542" s="48">
        <f>G543</f>
        <v>70</v>
      </c>
      <c r="H542" s="48">
        <f t="shared" si="59"/>
        <v>70</v>
      </c>
      <c r="I542" s="18"/>
      <c r="J542" s="18"/>
      <c r="K542" s="18"/>
      <c r="O542" s="18"/>
      <c r="P542" s="101"/>
    </row>
    <row r="543" spans="1:16" s="15" customFormat="1" ht="31.5" customHeight="1">
      <c r="A543" s="53" t="s">
        <v>986</v>
      </c>
      <c r="B543" s="52" t="s">
        <v>17</v>
      </c>
      <c r="C543" s="53" t="s">
        <v>622</v>
      </c>
      <c r="D543" s="53" t="s">
        <v>7</v>
      </c>
      <c r="E543" s="53" t="s">
        <v>125</v>
      </c>
      <c r="F543" s="48">
        <v>70</v>
      </c>
      <c r="G543" s="48">
        <v>70</v>
      </c>
      <c r="H543" s="48">
        <v>70</v>
      </c>
      <c r="I543" s="18"/>
      <c r="J543" s="18"/>
      <c r="K543" s="18"/>
      <c r="M543" s="41">
        <v>21</v>
      </c>
      <c r="O543" s="18"/>
      <c r="P543" s="101"/>
    </row>
    <row r="544" spans="1:16" s="15" customFormat="1" ht="89.25">
      <c r="A544" s="53" t="s">
        <v>987</v>
      </c>
      <c r="B544" s="52" t="s">
        <v>444</v>
      </c>
      <c r="C544" s="53" t="s">
        <v>443</v>
      </c>
      <c r="D544" s="53"/>
      <c r="E544" s="53"/>
      <c r="F544" s="48">
        <f aca="true" t="shared" si="60" ref="F544:H551">SUM(F545)</f>
        <v>0</v>
      </c>
      <c r="G544" s="48">
        <f t="shared" si="60"/>
        <v>0</v>
      </c>
      <c r="H544" s="48">
        <f t="shared" si="60"/>
        <v>0</v>
      </c>
      <c r="I544" s="18"/>
      <c r="J544" s="18"/>
      <c r="K544" s="18"/>
      <c r="O544" s="18"/>
      <c r="P544" s="101"/>
    </row>
    <row r="545" spans="1:16" s="15" customFormat="1" ht="33.75" customHeight="1">
      <c r="A545" s="53" t="s">
        <v>988</v>
      </c>
      <c r="B545" s="52" t="s">
        <v>162</v>
      </c>
      <c r="C545" s="53" t="s">
        <v>443</v>
      </c>
      <c r="D545" s="53" t="s">
        <v>31</v>
      </c>
      <c r="E545" s="53" t="s">
        <v>421</v>
      </c>
      <c r="F545" s="48">
        <f t="shared" si="60"/>
        <v>0</v>
      </c>
      <c r="G545" s="48">
        <f t="shared" si="60"/>
        <v>0</v>
      </c>
      <c r="H545" s="48">
        <f t="shared" si="60"/>
        <v>0</v>
      </c>
      <c r="I545" s="18"/>
      <c r="J545" s="18"/>
      <c r="K545" s="18"/>
      <c r="O545" s="18"/>
      <c r="P545" s="101"/>
    </row>
    <row r="546" spans="1:16" s="15" customFormat="1" ht="20.25" customHeight="1">
      <c r="A546" s="53" t="s">
        <v>989</v>
      </c>
      <c r="B546" s="52" t="s">
        <v>33</v>
      </c>
      <c r="C546" s="53" t="s">
        <v>443</v>
      </c>
      <c r="D546" s="53" t="s">
        <v>32</v>
      </c>
      <c r="E546" s="53" t="s">
        <v>125</v>
      </c>
      <c r="F546" s="48">
        <f>210-210</f>
        <v>0</v>
      </c>
      <c r="G546" s="48">
        <v>0</v>
      </c>
      <c r="H546" s="48">
        <v>0</v>
      </c>
      <c r="I546" s="18"/>
      <c r="J546" s="18"/>
      <c r="K546" s="18"/>
      <c r="O546" s="18"/>
      <c r="P546" s="106">
        <v>-210</v>
      </c>
    </row>
    <row r="547" spans="1:16" s="15" customFormat="1" ht="120" customHeight="1">
      <c r="A547" s="53" t="s">
        <v>990</v>
      </c>
      <c r="B547" s="52" t="s">
        <v>1125</v>
      </c>
      <c r="C547" s="53" t="s">
        <v>1124</v>
      </c>
      <c r="D547" s="53"/>
      <c r="E547" s="53"/>
      <c r="F547" s="48">
        <f t="shared" si="60"/>
        <v>5000</v>
      </c>
      <c r="G547" s="48">
        <f t="shared" si="60"/>
        <v>0</v>
      </c>
      <c r="H547" s="48">
        <f t="shared" si="60"/>
        <v>0</v>
      </c>
      <c r="I547" s="18"/>
      <c r="J547" s="18"/>
      <c r="K547" s="18"/>
      <c r="O547" s="18"/>
      <c r="P547" s="101"/>
    </row>
    <row r="548" spans="1:16" s="15" customFormat="1" ht="37.5" customHeight="1">
      <c r="A548" s="53" t="s">
        <v>18</v>
      </c>
      <c r="B548" s="52" t="s">
        <v>162</v>
      </c>
      <c r="C548" s="53" t="s">
        <v>1124</v>
      </c>
      <c r="D548" s="53" t="s">
        <v>31</v>
      </c>
      <c r="E548" s="53" t="s">
        <v>421</v>
      </c>
      <c r="F548" s="48">
        <f t="shared" si="60"/>
        <v>5000</v>
      </c>
      <c r="G548" s="48">
        <f t="shared" si="60"/>
        <v>0</v>
      </c>
      <c r="H548" s="48">
        <f t="shared" si="60"/>
        <v>0</v>
      </c>
      <c r="I548" s="18"/>
      <c r="J548" s="18"/>
      <c r="K548" s="18"/>
      <c r="O548" s="18"/>
      <c r="P548" s="101"/>
    </row>
    <row r="549" spans="1:16" s="15" customFormat="1" ht="20.25" customHeight="1">
      <c r="A549" s="53" t="s">
        <v>991</v>
      </c>
      <c r="B549" s="52" t="s">
        <v>33</v>
      </c>
      <c r="C549" s="53" t="s">
        <v>1124</v>
      </c>
      <c r="D549" s="53" t="s">
        <v>32</v>
      </c>
      <c r="E549" s="53" t="s">
        <v>125</v>
      </c>
      <c r="F549" s="48">
        <v>5000</v>
      </c>
      <c r="G549" s="48">
        <v>0</v>
      </c>
      <c r="H549" s="48">
        <v>0</v>
      </c>
      <c r="I549" s="18"/>
      <c r="J549" s="18"/>
      <c r="K549" s="18"/>
      <c r="O549" s="18"/>
      <c r="P549" s="106">
        <v>5000</v>
      </c>
    </row>
    <row r="550" spans="1:16" s="15" customFormat="1" ht="123" customHeight="1">
      <c r="A550" s="53" t="s">
        <v>992</v>
      </c>
      <c r="B550" s="52" t="s">
        <v>1126</v>
      </c>
      <c r="C550" s="53" t="s">
        <v>1124</v>
      </c>
      <c r="D550" s="53"/>
      <c r="E550" s="53"/>
      <c r="F550" s="48">
        <f t="shared" si="60"/>
        <v>210</v>
      </c>
      <c r="G550" s="48">
        <f t="shared" si="60"/>
        <v>0</v>
      </c>
      <c r="H550" s="48">
        <f t="shared" si="60"/>
        <v>0</v>
      </c>
      <c r="I550" s="18"/>
      <c r="J550" s="18"/>
      <c r="K550" s="18"/>
      <c r="O550" s="18"/>
      <c r="P550" s="101"/>
    </row>
    <row r="551" spans="1:16" s="15" customFormat="1" ht="44.25" customHeight="1">
      <c r="A551" s="53" t="s">
        <v>993</v>
      </c>
      <c r="B551" s="52" t="s">
        <v>162</v>
      </c>
      <c r="C551" s="53" t="s">
        <v>1124</v>
      </c>
      <c r="D551" s="53" t="s">
        <v>31</v>
      </c>
      <c r="E551" s="53" t="s">
        <v>421</v>
      </c>
      <c r="F551" s="48">
        <f t="shared" si="60"/>
        <v>210</v>
      </c>
      <c r="G551" s="48">
        <f t="shared" si="60"/>
        <v>0</v>
      </c>
      <c r="H551" s="48">
        <f t="shared" si="60"/>
        <v>0</v>
      </c>
      <c r="I551" s="18"/>
      <c r="J551" s="18"/>
      <c r="K551" s="18"/>
      <c r="O551" s="18"/>
      <c r="P551" s="101"/>
    </row>
    <row r="552" spans="1:16" s="15" customFormat="1" ht="20.25" customHeight="1">
      <c r="A552" s="53" t="s">
        <v>994</v>
      </c>
      <c r="B552" s="52" t="s">
        <v>33</v>
      </c>
      <c r="C552" s="53" t="s">
        <v>1124</v>
      </c>
      <c r="D552" s="53" t="s">
        <v>32</v>
      </c>
      <c r="E552" s="53" t="s">
        <v>125</v>
      </c>
      <c r="F552" s="48">
        <v>210</v>
      </c>
      <c r="G552" s="48">
        <v>0</v>
      </c>
      <c r="H552" s="48">
        <v>0</v>
      </c>
      <c r="I552" s="18"/>
      <c r="J552" s="18"/>
      <c r="K552" s="18"/>
      <c r="O552" s="18"/>
      <c r="P552" s="106">
        <v>210</v>
      </c>
    </row>
    <row r="553" spans="1:16" s="15" customFormat="1" ht="21" customHeight="1">
      <c r="A553" s="53" t="s">
        <v>995</v>
      </c>
      <c r="B553" s="83" t="s">
        <v>314</v>
      </c>
      <c r="C553" s="63" t="s">
        <v>226</v>
      </c>
      <c r="D553" s="63"/>
      <c r="E553" s="63"/>
      <c r="F553" s="66">
        <f>F554+F579+F586</f>
        <v>13524.9</v>
      </c>
      <c r="G553" s="66">
        <f>G554+G579+G586</f>
        <v>10071.8</v>
      </c>
      <c r="H553" s="66">
        <f>H554+H579+H586</f>
        <v>10071.8</v>
      </c>
      <c r="I553" s="18"/>
      <c r="J553" s="18"/>
      <c r="K553" s="18"/>
      <c r="O553" s="18"/>
      <c r="P553" s="101"/>
    </row>
    <row r="554" spans="1:16" s="15" customFormat="1" ht="31.5" customHeight="1">
      <c r="A554" s="53" t="s">
        <v>321</v>
      </c>
      <c r="B554" s="81" t="s">
        <v>0</v>
      </c>
      <c r="C554" s="65" t="s">
        <v>227</v>
      </c>
      <c r="D554" s="65"/>
      <c r="E554" s="65"/>
      <c r="F554" s="57">
        <f>F555+F561+F573+F567+F570+F576+F564+F558</f>
        <v>10703.9</v>
      </c>
      <c r="G554" s="57">
        <f>G555+G561+G573+G567+G570+G576</f>
        <v>8947.3</v>
      </c>
      <c r="H554" s="57">
        <f>H555+H561+H573+H567+H570+H576</f>
        <v>8947.3</v>
      </c>
      <c r="I554" s="18"/>
      <c r="J554" s="18"/>
      <c r="K554" s="18"/>
      <c r="O554" s="18"/>
      <c r="P554" s="101"/>
    </row>
    <row r="555" spans="1:16" s="15" customFormat="1" ht="56.25" customHeight="1">
      <c r="A555" s="53" t="s">
        <v>406</v>
      </c>
      <c r="B555" s="52" t="s">
        <v>628</v>
      </c>
      <c r="C555" s="53" t="s">
        <v>627</v>
      </c>
      <c r="D555" s="53"/>
      <c r="E555" s="53"/>
      <c r="F555" s="48">
        <f aca="true" t="shared" si="61" ref="F555:H559">F556</f>
        <v>8342.4</v>
      </c>
      <c r="G555" s="48">
        <f t="shared" si="61"/>
        <v>8342.4</v>
      </c>
      <c r="H555" s="48">
        <f t="shared" si="61"/>
        <v>8342.4</v>
      </c>
      <c r="I555" s="18"/>
      <c r="J555" s="18"/>
      <c r="K555" s="18"/>
      <c r="O555" s="18"/>
      <c r="P555" s="101"/>
    </row>
    <row r="556" spans="1:16" s="15" customFormat="1" ht="30.75" customHeight="1">
      <c r="A556" s="53" t="s">
        <v>407</v>
      </c>
      <c r="B556" s="52" t="s">
        <v>162</v>
      </c>
      <c r="C556" s="53" t="s">
        <v>627</v>
      </c>
      <c r="D556" s="53" t="s">
        <v>31</v>
      </c>
      <c r="E556" s="53" t="s">
        <v>163</v>
      </c>
      <c r="F556" s="48">
        <f t="shared" si="61"/>
        <v>8342.4</v>
      </c>
      <c r="G556" s="48">
        <f t="shared" si="61"/>
        <v>8342.4</v>
      </c>
      <c r="H556" s="48">
        <f t="shared" si="61"/>
        <v>8342.4</v>
      </c>
      <c r="I556" s="18"/>
      <c r="J556" s="18"/>
      <c r="K556" s="18"/>
      <c r="O556" s="18"/>
      <c r="P556" s="101"/>
    </row>
    <row r="557" spans="1:16" s="15" customFormat="1" ht="19.5" customHeight="1">
      <c r="A557" s="53" t="s">
        <v>408</v>
      </c>
      <c r="B557" s="52" t="s">
        <v>33</v>
      </c>
      <c r="C557" s="53" t="s">
        <v>627</v>
      </c>
      <c r="D557" s="53" t="s">
        <v>32</v>
      </c>
      <c r="E557" s="53" t="s">
        <v>177</v>
      </c>
      <c r="F557" s="48">
        <v>8342.4</v>
      </c>
      <c r="G557" s="48">
        <v>8342.4</v>
      </c>
      <c r="H557" s="48">
        <v>8342.4</v>
      </c>
      <c r="I557" s="18"/>
      <c r="J557" s="18"/>
      <c r="K557" s="18"/>
      <c r="O557" s="18"/>
      <c r="P557" s="101"/>
    </row>
    <row r="558" spans="1:16" s="15" customFormat="1" ht="72.75" customHeight="1">
      <c r="A558" s="53" t="s">
        <v>409</v>
      </c>
      <c r="B558" s="52" t="s">
        <v>1155</v>
      </c>
      <c r="C558" s="53" t="s">
        <v>1154</v>
      </c>
      <c r="D558" s="53"/>
      <c r="E558" s="53"/>
      <c r="F558" s="48">
        <f t="shared" si="61"/>
        <v>1001.6</v>
      </c>
      <c r="G558" s="48">
        <f t="shared" si="61"/>
        <v>0</v>
      </c>
      <c r="H558" s="48">
        <f t="shared" si="61"/>
        <v>0</v>
      </c>
      <c r="I558" s="18"/>
      <c r="J558" s="18"/>
      <c r="K558" s="18"/>
      <c r="O558" s="18"/>
      <c r="P558" s="101"/>
    </row>
    <row r="559" spans="1:16" s="15" customFormat="1" ht="36.75" customHeight="1">
      <c r="A559" s="53" t="s">
        <v>410</v>
      </c>
      <c r="B559" s="52" t="s">
        <v>162</v>
      </c>
      <c r="C559" s="53" t="s">
        <v>1154</v>
      </c>
      <c r="D559" s="53" t="s">
        <v>31</v>
      </c>
      <c r="E559" s="53" t="s">
        <v>163</v>
      </c>
      <c r="F559" s="48">
        <f t="shared" si="61"/>
        <v>1001.6</v>
      </c>
      <c r="G559" s="48">
        <f t="shared" si="61"/>
        <v>0</v>
      </c>
      <c r="H559" s="48">
        <f t="shared" si="61"/>
        <v>0</v>
      </c>
      <c r="I559" s="18"/>
      <c r="J559" s="18"/>
      <c r="K559" s="18"/>
      <c r="O559" s="18"/>
      <c r="P559" s="101"/>
    </row>
    <row r="560" spans="1:16" s="15" customFormat="1" ht="19.5" customHeight="1">
      <c r="A560" s="53" t="s">
        <v>411</v>
      </c>
      <c r="B560" s="52" t="s">
        <v>33</v>
      </c>
      <c r="C560" s="53" t="s">
        <v>1154</v>
      </c>
      <c r="D560" s="53" t="s">
        <v>32</v>
      </c>
      <c r="E560" s="53" t="s">
        <v>177</v>
      </c>
      <c r="F560" s="48">
        <v>1001.6</v>
      </c>
      <c r="G560" s="48">
        <v>0</v>
      </c>
      <c r="H560" s="48">
        <v>0</v>
      </c>
      <c r="I560" s="18"/>
      <c r="J560" s="18"/>
      <c r="K560" s="18"/>
      <c r="O560" s="18"/>
      <c r="P560" s="106">
        <v>1001.6</v>
      </c>
    </row>
    <row r="561" spans="1:16" s="15" customFormat="1" ht="84.75" customHeight="1">
      <c r="A561" s="53" t="s">
        <v>412</v>
      </c>
      <c r="B561" s="52" t="s">
        <v>397</v>
      </c>
      <c r="C561" s="53" t="s">
        <v>454</v>
      </c>
      <c r="D561" s="53"/>
      <c r="E561" s="53"/>
      <c r="F561" s="48">
        <f aca="true" t="shared" si="62" ref="F561:H565">F562</f>
        <v>302.9</v>
      </c>
      <c r="G561" s="48">
        <f t="shared" si="62"/>
        <v>302.9</v>
      </c>
      <c r="H561" s="48">
        <f t="shared" si="62"/>
        <v>302.9</v>
      </c>
      <c r="I561" s="18"/>
      <c r="J561" s="18"/>
      <c r="K561" s="18"/>
      <c r="O561" s="18"/>
      <c r="P561" s="101"/>
    </row>
    <row r="562" spans="1:16" s="15" customFormat="1" ht="31.5" customHeight="1">
      <c r="A562" s="53" t="s">
        <v>413</v>
      </c>
      <c r="B562" s="52" t="s">
        <v>162</v>
      </c>
      <c r="C562" s="53" t="s">
        <v>454</v>
      </c>
      <c r="D562" s="53" t="s">
        <v>31</v>
      </c>
      <c r="E562" s="53" t="s">
        <v>163</v>
      </c>
      <c r="F562" s="48">
        <f t="shared" si="62"/>
        <v>302.9</v>
      </c>
      <c r="G562" s="48">
        <f t="shared" si="62"/>
        <v>302.9</v>
      </c>
      <c r="H562" s="48">
        <f t="shared" si="62"/>
        <v>302.9</v>
      </c>
      <c r="I562" s="18"/>
      <c r="J562" s="18"/>
      <c r="K562" s="18"/>
      <c r="O562" s="18"/>
      <c r="P562" s="101"/>
    </row>
    <row r="563" spans="1:16" s="15" customFormat="1" ht="19.5" customHeight="1">
      <c r="A563" s="53" t="s">
        <v>414</v>
      </c>
      <c r="B563" s="52" t="s">
        <v>33</v>
      </c>
      <c r="C563" s="53" t="s">
        <v>454</v>
      </c>
      <c r="D563" s="53" t="s">
        <v>32</v>
      </c>
      <c r="E563" s="53" t="s">
        <v>177</v>
      </c>
      <c r="F563" s="48">
        <v>302.9</v>
      </c>
      <c r="G563" s="48">
        <v>302.9</v>
      </c>
      <c r="H563" s="48">
        <v>302.9</v>
      </c>
      <c r="I563" s="18"/>
      <c r="J563" s="18"/>
      <c r="K563" s="18"/>
      <c r="M563" s="41">
        <v>200</v>
      </c>
      <c r="O563" s="18"/>
      <c r="P563" s="101"/>
    </row>
    <row r="564" spans="1:16" s="15" customFormat="1" ht="82.5" customHeight="1">
      <c r="A564" s="53" t="s">
        <v>415</v>
      </c>
      <c r="B564" s="69" t="s">
        <v>1105</v>
      </c>
      <c r="C564" s="53" t="s">
        <v>1104</v>
      </c>
      <c r="D564" s="53"/>
      <c r="E564" s="53"/>
      <c r="F564" s="48">
        <f t="shared" si="62"/>
        <v>300</v>
      </c>
      <c r="G564" s="48">
        <f t="shared" si="62"/>
        <v>0</v>
      </c>
      <c r="H564" s="48">
        <f t="shared" si="62"/>
        <v>0</v>
      </c>
      <c r="I564" s="18"/>
      <c r="J564" s="18"/>
      <c r="K564" s="18"/>
      <c r="M564" s="41"/>
      <c r="O564" s="18"/>
      <c r="P564" s="101"/>
    </row>
    <row r="565" spans="1:16" s="15" customFormat="1" ht="49.5" customHeight="1">
      <c r="A565" s="53" t="s">
        <v>526</v>
      </c>
      <c r="B565" s="52" t="s">
        <v>162</v>
      </c>
      <c r="C565" s="53" t="s">
        <v>1104</v>
      </c>
      <c r="D565" s="53" t="s">
        <v>31</v>
      </c>
      <c r="E565" s="53" t="s">
        <v>163</v>
      </c>
      <c r="F565" s="48">
        <f t="shared" si="62"/>
        <v>300</v>
      </c>
      <c r="G565" s="48">
        <f t="shared" si="62"/>
        <v>0</v>
      </c>
      <c r="H565" s="48">
        <f t="shared" si="62"/>
        <v>0</v>
      </c>
      <c r="I565" s="18"/>
      <c r="J565" s="18"/>
      <c r="K565" s="18"/>
      <c r="M565" s="41"/>
      <c r="O565" s="18"/>
      <c r="P565" s="101"/>
    </row>
    <row r="566" spans="1:16" s="15" customFormat="1" ht="19.5" customHeight="1">
      <c r="A566" s="53" t="s">
        <v>527</v>
      </c>
      <c r="B566" s="52" t="s">
        <v>33</v>
      </c>
      <c r="C566" s="53" t="s">
        <v>1104</v>
      </c>
      <c r="D566" s="53" t="s">
        <v>32</v>
      </c>
      <c r="E566" s="53" t="s">
        <v>177</v>
      </c>
      <c r="F566" s="48">
        <v>300</v>
      </c>
      <c r="G566" s="48">
        <v>0</v>
      </c>
      <c r="H566" s="48">
        <v>0</v>
      </c>
      <c r="I566" s="18"/>
      <c r="J566" s="18"/>
      <c r="K566" s="18"/>
      <c r="M566" s="41"/>
      <c r="O566" s="18"/>
      <c r="P566" s="106">
        <v>300</v>
      </c>
    </row>
    <row r="567" spans="1:16" s="15" customFormat="1" ht="63.75">
      <c r="A567" s="53" t="s">
        <v>528</v>
      </c>
      <c r="B567" s="52" t="s">
        <v>313</v>
      </c>
      <c r="C567" s="53" t="s">
        <v>625</v>
      </c>
      <c r="D567" s="53"/>
      <c r="E567" s="53"/>
      <c r="F567" s="48">
        <f aca="true" t="shared" si="63" ref="F567:H568">SUM(F568)</f>
        <v>127.1</v>
      </c>
      <c r="G567" s="48">
        <f t="shared" si="63"/>
        <v>72.1</v>
      </c>
      <c r="H567" s="48">
        <f t="shared" si="63"/>
        <v>72.1</v>
      </c>
      <c r="I567" s="18"/>
      <c r="J567" s="18"/>
      <c r="K567" s="18"/>
      <c r="O567" s="18"/>
      <c r="P567" s="101"/>
    </row>
    <row r="568" spans="1:16" s="15" customFormat="1" ht="30.75" customHeight="1">
      <c r="A568" s="53" t="s">
        <v>529</v>
      </c>
      <c r="B568" s="52" t="s">
        <v>162</v>
      </c>
      <c r="C568" s="53" t="s">
        <v>625</v>
      </c>
      <c r="D568" s="53" t="s">
        <v>31</v>
      </c>
      <c r="E568" s="53" t="s">
        <v>163</v>
      </c>
      <c r="F568" s="48">
        <f>SUM(F569)</f>
        <v>127.1</v>
      </c>
      <c r="G568" s="48">
        <f t="shared" si="63"/>
        <v>72.1</v>
      </c>
      <c r="H568" s="48">
        <f t="shared" si="63"/>
        <v>72.1</v>
      </c>
      <c r="I568" s="18"/>
      <c r="J568" s="18"/>
      <c r="K568" s="18"/>
      <c r="O568" s="18"/>
      <c r="P568" s="101"/>
    </row>
    <row r="569" spans="1:16" s="15" customFormat="1" ht="17.25" customHeight="1">
      <c r="A569" s="53" t="s">
        <v>530</v>
      </c>
      <c r="B569" s="52" t="s">
        <v>33</v>
      </c>
      <c r="C569" s="53" t="s">
        <v>625</v>
      </c>
      <c r="D569" s="53" t="s">
        <v>32</v>
      </c>
      <c r="E569" s="53" t="s">
        <v>177</v>
      </c>
      <c r="F569" s="48">
        <f>72.1+55</f>
        <v>127.1</v>
      </c>
      <c r="G569" s="48">
        <v>72.1</v>
      </c>
      <c r="H569" s="48">
        <v>72.1</v>
      </c>
      <c r="I569" s="18"/>
      <c r="J569" s="18"/>
      <c r="K569" s="18"/>
      <c r="O569" s="18"/>
      <c r="P569" s="101"/>
    </row>
    <row r="570" spans="1:16" s="15" customFormat="1" ht="71.25" customHeight="1">
      <c r="A570" s="53" t="s">
        <v>531</v>
      </c>
      <c r="B570" s="52" t="s">
        <v>396</v>
      </c>
      <c r="C570" s="53" t="s">
        <v>626</v>
      </c>
      <c r="D570" s="53"/>
      <c r="E570" s="53"/>
      <c r="F570" s="48">
        <f aca="true" t="shared" si="64" ref="F570:H571">F571</f>
        <v>400</v>
      </c>
      <c r="G570" s="48">
        <f t="shared" si="64"/>
        <v>0</v>
      </c>
      <c r="H570" s="48">
        <f t="shared" si="64"/>
        <v>0</v>
      </c>
      <c r="I570" s="18"/>
      <c r="J570" s="18"/>
      <c r="K570" s="18"/>
      <c r="O570" s="18"/>
      <c r="P570" s="101"/>
    </row>
    <row r="571" spans="1:16" s="15" customFormat="1" ht="32.25" customHeight="1">
      <c r="A571" s="53" t="s">
        <v>416</v>
      </c>
      <c r="B571" s="52" t="s">
        <v>162</v>
      </c>
      <c r="C571" s="53" t="s">
        <v>626</v>
      </c>
      <c r="D571" s="53" t="s">
        <v>31</v>
      </c>
      <c r="E571" s="53" t="s">
        <v>163</v>
      </c>
      <c r="F571" s="48">
        <f t="shared" si="64"/>
        <v>400</v>
      </c>
      <c r="G571" s="48">
        <f t="shared" si="64"/>
        <v>0</v>
      </c>
      <c r="H571" s="48">
        <f t="shared" si="64"/>
        <v>0</v>
      </c>
      <c r="I571" s="18"/>
      <c r="J571" s="18"/>
      <c r="K571" s="18"/>
      <c r="O571" s="18"/>
      <c r="P571" s="101"/>
    </row>
    <row r="572" spans="1:16" s="15" customFormat="1" ht="18.75" customHeight="1">
      <c r="A572" s="53" t="s">
        <v>996</v>
      </c>
      <c r="B572" s="52" t="s">
        <v>33</v>
      </c>
      <c r="C572" s="53" t="s">
        <v>626</v>
      </c>
      <c r="D572" s="53" t="s">
        <v>32</v>
      </c>
      <c r="E572" s="53" t="s">
        <v>177</v>
      </c>
      <c r="F572" s="48">
        <f>200+200</f>
        <v>400</v>
      </c>
      <c r="G572" s="48">
        <v>0</v>
      </c>
      <c r="H572" s="48">
        <v>0</v>
      </c>
      <c r="I572" s="18"/>
      <c r="J572" s="18"/>
      <c r="K572" s="18"/>
      <c r="O572" s="18"/>
      <c r="P572" s="101"/>
    </row>
    <row r="573" spans="1:16" s="3" customFormat="1" ht="75.75" customHeight="1">
      <c r="A573" s="53" t="s">
        <v>997</v>
      </c>
      <c r="B573" s="52" t="s">
        <v>851</v>
      </c>
      <c r="C573" s="53" t="s">
        <v>395</v>
      </c>
      <c r="D573" s="53"/>
      <c r="E573" s="53"/>
      <c r="F573" s="48">
        <f aca="true" t="shared" si="65" ref="F573:H577">F574</f>
        <v>193.1</v>
      </c>
      <c r="G573" s="48">
        <f t="shared" si="65"/>
        <v>193.1</v>
      </c>
      <c r="H573" s="48">
        <f t="shared" si="65"/>
        <v>193.1</v>
      </c>
      <c r="I573" s="18"/>
      <c r="J573" s="18"/>
      <c r="K573" s="18"/>
      <c r="O573" s="18"/>
      <c r="P573" s="101"/>
    </row>
    <row r="574" spans="1:16" s="3" customFormat="1" ht="25.5">
      <c r="A574" s="53" t="s">
        <v>998</v>
      </c>
      <c r="B574" s="52" t="s">
        <v>162</v>
      </c>
      <c r="C574" s="53" t="s">
        <v>395</v>
      </c>
      <c r="D574" s="53" t="s">
        <v>31</v>
      </c>
      <c r="E574" s="53" t="s">
        <v>163</v>
      </c>
      <c r="F574" s="48">
        <f t="shared" si="65"/>
        <v>193.1</v>
      </c>
      <c r="G574" s="48">
        <f t="shared" si="65"/>
        <v>193.1</v>
      </c>
      <c r="H574" s="48">
        <f t="shared" si="65"/>
        <v>193.1</v>
      </c>
      <c r="I574" s="18"/>
      <c r="J574" s="18"/>
      <c r="K574" s="18"/>
      <c r="O574" s="18"/>
      <c r="P574" s="101"/>
    </row>
    <row r="575" spans="1:16" s="3" customFormat="1" ht="20.25" customHeight="1">
      <c r="A575" s="53" t="s">
        <v>835</v>
      </c>
      <c r="B575" s="52" t="s">
        <v>33</v>
      </c>
      <c r="C575" s="53" t="s">
        <v>395</v>
      </c>
      <c r="D575" s="53" t="s">
        <v>32</v>
      </c>
      <c r="E575" s="53" t="s">
        <v>177</v>
      </c>
      <c r="F575" s="48">
        <v>193.1</v>
      </c>
      <c r="G575" s="48">
        <v>193.1</v>
      </c>
      <c r="H575" s="48">
        <v>193.1</v>
      </c>
      <c r="I575" s="18"/>
      <c r="J575" s="18"/>
      <c r="K575" s="18"/>
      <c r="O575" s="18"/>
      <c r="P575" s="101"/>
    </row>
    <row r="576" spans="1:16" s="3" customFormat="1" ht="74.25" customHeight="1">
      <c r="A576" s="53" t="s">
        <v>836</v>
      </c>
      <c r="B576" s="52" t="s">
        <v>852</v>
      </c>
      <c r="C576" s="53" t="s">
        <v>395</v>
      </c>
      <c r="D576" s="53"/>
      <c r="E576" s="53"/>
      <c r="F576" s="48">
        <f t="shared" si="65"/>
        <v>36.8</v>
      </c>
      <c r="G576" s="48">
        <f t="shared" si="65"/>
        <v>36.8</v>
      </c>
      <c r="H576" s="48">
        <f t="shared" si="65"/>
        <v>36.8</v>
      </c>
      <c r="I576" s="18"/>
      <c r="J576" s="18"/>
      <c r="K576" s="18"/>
      <c r="O576" s="18"/>
      <c r="P576" s="101"/>
    </row>
    <row r="577" spans="1:16" s="3" customFormat="1" ht="41.25" customHeight="1">
      <c r="A577" s="53" t="s">
        <v>837</v>
      </c>
      <c r="B577" s="52" t="s">
        <v>162</v>
      </c>
      <c r="C577" s="53" t="s">
        <v>395</v>
      </c>
      <c r="D577" s="53" t="s">
        <v>31</v>
      </c>
      <c r="E577" s="53" t="s">
        <v>163</v>
      </c>
      <c r="F577" s="48">
        <f t="shared" si="65"/>
        <v>36.8</v>
      </c>
      <c r="G577" s="48">
        <f t="shared" si="65"/>
        <v>36.8</v>
      </c>
      <c r="H577" s="48">
        <f t="shared" si="65"/>
        <v>36.8</v>
      </c>
      <c r="I577" s="18"/>
      <c r="J577" s="18"/>
      <c r="K577" s="18"/>
      <c r="O577" s="18"/>
      <c r="P577" s="101"/>
    </row>
    <row r="578" spans="1:16" s="3" customFormat="1" ht="20.25" customHeight="1">
      <c r="A578" s="53" t="s">
        <v>532</v>
      </c>
      <c r="B578" s="52" t="s">
        <v>33</v>
      </c>
      <c r="C578" s="53" t="s">
        <v>395</v>
      </c>
      <c r="D578" s="53" t="s">
        <v>32</v>
      </c>
      <c r="E578" s="53" t="s">
        <v>177</v>
      </c>
      <c r="F578" s="48">
        <v>36.8</v>
      </c>
      <c r="G578" s="48">
        <v>36.8</v>
      </c>
      <c r="H578" s="48">
        <v>36.8</v>
      </c>
      <c r="I578" s="18"/>
      <c r="J578" s="18"/>
      <c r="K578" s="18"/>
      <c r="O578" s="18"/>
      <c r="P578" s="101"/>
    </row>
    <row r="579" spans="1:16" s="3" customFormat="1" ht="25.5">
      <c r="A579" s="53" t="s">
        <v>533</v>
      </c>
      <c r="B579" s="81" t="s">
        <v>3</v>
      </c>
      <c r="C579" s="65" t="s">
        <v>228</v>
      </c>
      <c r="D579" s="65"/>
      <c r="E579" s="65"/>
      <c r="F579" s="57">
        <f>F580+F583</f>
        <v>13</v>
      </c>
      <c r="G579" s="57">
        <f>G580+G583</f>
        <v>13</v>
      </c>
      <c r="H579" s="57">
        <f>H580+H583</f>
        <v>13</v>
      </c>
      <c r="I579" s="18"/>
      <c r="J579" s="18"/>
      <c r="K579" s="18"/>
      <c r="O579" s="18"/>
      <c r="P579" s="101"/>
    </row>
    <row r="580" spans="1:16" s="3" customFormat="1" ht="51">
      <c r="A580" s="53" t="s">
        <v>1023</v>
      </c>
      <c r="B580" s="52" t="s">
        <v>398</v>
      </c>
      <c r="C580" s="53" t="s">
        <v>629</v>
      </c>
      <c r="D580" s="53"/>
      <c r="E580" s="53"/>
      <c r="F580" s="48">
        <f aca="true" t="shared" si="66" ref="F580:H583">F581</f>
        <v>8</v>
      </c>
      <c r="G580" s="48">
        <f t="shared" si="66"/>
        <v>8</v>
      </c>
      <c r="H580" s="48">
        <f t="shared" si="66"/>
        <v>8</v>
      </c>
      <c r="I580" s="18"/>
      <c r="J580" s="18"/>
      <c r="K580" s="18"/>
      <c r="O580" s="18"/>
      <c r="P580" s="101"/>
    </row>
    <row r="581" spans="1:16" s="3" customFormat="1" ht="25.5">
      <c r="A581" s="53" t="s">
        <v>1024</v>
      </c>
      <c r="B581" s="52" t="s">
        <v>162</v>
      </c>
      <c r="C581" s="53" t="s">
        <v>629</v>
      </c>
      <c r="D581" s="53" t="s">
        <v>31</v>
      </c>
      <c r="E581" s="53" t="s">
        <v>163</v>
      </c>
      <c r="F581" s="48">
        <f t="shared" si="66"/>
        <v>8</v>
      </c>
      <c r="G581" s="48">
        <f t="shared" si="66"/>
        <v>8</v>
      </c>
      <c r="H581" s="48">
        <f t="shared" si="66"/>
        <v>8</v>
      </c>
      <c r="I581" s="18"/>
      <c r="J581" s="18"/>
      <c r="K581" s="18"/>
      <c r="O581" s="18"/>
      <c r="P581" s="101"/>
    </row>
    <row r="582" spans="1:16" s="3" customFormat="1" ht="21" customHeight="1">
      <c r="A582" s="53" t="s">
        <v>1025</v>
      </c>
      <c r="B582" s="52" t="s">
        <v>33</v>
      </c>
      <c r="C582" s="53" t="s">
        <v>629</v>
      </c>
      <c r="D582" s="53" t="s">
        <v>32</v>
      </c>
      <c r="E582" s="53" t="s">
        <v>177</v>
      </c>
      <c r="F582" s="48">
        <v>8</v>
      </c>
      <c r="G582" s="48">
        <v>8</v>
      </c>
      <c r="H582" s="48">
        <v>8</v>
      </c>
      <c r="I582" s="18"/>
      <c r="J582" s="18"/>
      <c r="K582" s="18"/>
      <c r="O582" s="18"/>
      <c r="P582" s="101"/>
    </row>
    <row r="583" spans="1:16" s="3" customFormat="1" ht="51">
      <c r="A583" s="53" t="s">
        <v>1026</v>
      </c>
      <c r="B583" s="52" t="s">
        <v>399</v>
      </c>
      <c r="C583" s="53" t="s">
        <v>641</v>
      </c>
      <c r="D583" s="53"/>
      <c r="E583" s="53"/>
      <c r="F583" s="48">
        <f t="shared" si="66"/>
        <v>5</v>
      </c>
      <c r="G583" s="48">
        <f t="shared" si="66"/>
        <v>5</v>
      </c>
      <c r="H583" s="48">
        <f t="shared" si="66"/>
        <v>5</v>
      </c>
      <c r="I583" s="18"/>
      <c r="J583" s="18"/>
      <c r="K583" s="18"/>
      <c r="O583" s="18"/>
      <c r="P583" s="101"/>
    </row>
    <row r="584" spans="1:16" s="3" customFormat="1" ht="25.5">
      <c r="A584" s="53" t="s">
        <v>1027</v>
      </c>
      <c r="B584" s="52" t="s">
        <v>162</v>
      </c>
      <c r="C584" s="53" t="s">
        <v>641</v>
      </c>
      <c r="D584" s="53" t="s">
        <v>31</v>
      </c>
      <c r="E584" s="53" t="s">
        <v>163</v>
      </c>
      <c r="F584" s="48">
        <f>F585</f>
        <v>5</v>
      </c>
      <c r="G584" s="48">
        <f>G585</f>
        <v>5</v>
      </c>
      <c r="H584" s="48">
        <f>H585</f>
        <v>5</v>
      </c>
      <c r="I584" s="18"/>
      <c r="J584" s="18"/>
      <c r="K584" s="18"/>
      <c r="O584" s="18"/>
      <c r="P584" s="101"/>
    </row>
    <row r="585" spans="1:16" s="3" customFormat="1" ht="21" customHeight="1">
      <c r="A585" s="53" t="s">
        <v>1028</v>
      </c>
      <c r="B585" s="52" t="s">
        <v>33</v>
      </c>
      <c r="C585" s="53" t="s">
        <v>641</v>
      </c>
      <c r="D585" s="53" t="s">
        <v>32</v>
      </c>
      <c r="E585" s="53" t="s">
        <v>177</v>
      </c>
      <c r="F585" s="48">
        <v>5</v>
      </c>
      <c r="G585" s="48">
        <v>5</v>
      </c>
      <c r="H585" s="48">
        <v>5</v>
      </c>
      <c r="I585" s="18"/>
      <c r="J585" s="18"/>
      <c r="K585" s="18"/>
      <c r="O585" s="18"/>
      <c r="P585" s="101"/>
    </row>
    <row r="586" spans="1:16" s="3" customFormat="1" ht="25.5">
      <c r="A586" s="53" t="s">
        <v>1029</v>
      </c>
      <c r="B586" s="81" t="s">
        <v>113</v>
      </c>
      <c r="C586" s="65" t="s">
        <v>229</v>
      </c>
      <c r="D586" s="65"/>
      <c r="E586" s="65"/>
      <c r="F586" s="57">
        <f>F587+F590</f>
        <v>2808</v>
      </c>
      <c r="G586" s="57">
        <f>G587</f>
        <v>1111.5</v>
      </c>
      <c r="H586" s="57">
        <f>H587</f>
        <v>1111.5</v>
      </c>
      <c r="I586" s="18"/>
      <c r="J586" s="18"/>
      <c r="K586" s="18"/>
      <c r="M586" s="41">
        <v>70</v>
      </c>
      <c r="O586" s="18"/>
      <c r="P586" s="101"/>
    </row>
    <row r="587" spans="1:16" s="3" customFormat="1" ht="63.75">
      <c r="A587" s="53" t="s">
        <v>1031</v>
      </c>
      <c r="B587" s="52" t="s">
        <v>442</v>
      </c>
      <c r="C587" s="53" t="s">
        <v>405</v>
      </c>
      <c r="D587" s="53"/>
      <c r="E587" s="53"/>
      <c r="F587" s="48">
        <f aca="true" t="shared" si="67" ref="F587:H591">F588</f>
        <v>1111.5</v>
      </c>
      <c r="G587" s="48">
        <f t="shared" si="67"/>
        <v>1111.5</v>
      </c>
      <c r="H587" s="48">
        <f t="shared" si="67"/>
        <v>1111.5</v>
      </c>
      <c r="I587" s="18"/>
      <c r="J587" s="18"/>
      <c r="K587" s="18"/>
      <c r="O587" s="18"/>
      <c r="P587" s="101"/>
    </row>
    <row r="588" spans="1:16" s="3" customFormat="1" ht="12.75">
      <c r="A588" s="53" t="s">
        <v>1032</v>
      </c>
      <c r="B588" s="68" t="s">
        <v>183</v>
      </c>
      <c r="C588" s="53" t="s">
        <v>405</v>
      </c>
      <c r="D588" s="53" t="s">
        <v>184</v>
      </c>
      <c r="E588" s="53" t="s">
        <v>9</v>
      </c>
      <c r="F588" s="48">
        <f t="shared" si="67"/>
        <v>1111.5</v>
      </c>
      <c r="G588" s="48">
        <f t="shared" si="67"/>
        <v>1111.5</v>
      </c>
      <c r="H588" s="48">
        <f t="shared" si="67"/>
        <v>1111.5</v>
      </c>
      <c r="I588" s="18"/>
      <c r="J588" s="18"/>
      <c r="K588" s="18"/>
      <c r="O588" s="18"/>
      <c r="P588" s="101"/>
    </row>
    <row r="589" spans="1:16" s="3" customFormat="1" ht="25.5">
      <c r="A589" s="53" t="s">
        <v>1033</v>
      </c>
      <c r="B589" s="68" t="s">
        <v>150</v>
      </c>
      <c r="C589" s="53" t="s">
        <v>405</v>
      </c>
      <c r="D589" s="53" t="s">
        <v>151</v>
      </c>
      <c r="E589" s="53" t="s">
        <v>149</v>
      </c>
      <c r="F589" s="48">
        <v>1111.5</v>
      </c>
      <c r="G589" s="48">
        <v>1111.5</v>
      </c>
      <c r="H589" s="48">
        <v>1111.5</v>
      </c>
      <c r="I589" s="18"/>
      <c r="J589" s="18"/>
      <c r="K589" s="18"/>
      <c r="M589" s="41">
        <v>1836.9</v>
      </c>
      <c r="O589" s="18"/>
      <c r="P589" s="101"/>
    </row>
    <row r="590" spans="1:16" s="3" customFormat="1" ht="63.75">
      <c r="A590" s="53" t="s">
        <v>1047</v>
      </c>
      <c r="B590" s="52" t="s">
        <v>1117</v>
      </c>
      <c r="C590" s="53" t="s">
        <v>405</v>
      </c>
      <c r="D590" s="53"/>
      <c r="E590" s="53"/>
      <c r="F590" s="48">
        <f t="shared" si="67"/>
        <v>1696.5</v>
      </c>
      <c r="G590" s="48">
        <f t="shared" si="67"/>
        <v>0</v>
      </c>
      <c r="H590" s="48">
        <f t="shared" si="67"/>
        <v>0</v>
      </c>
      <c r="I590" s="18"/>
      <c r="J590" s="18"/>
      <c r="K590" s="18"/>
      <c r="M590" s="41"/>
      <c r="O590" s="18"/>
      <c r="P590" s="101"/>
    </row>
    <row r="591" spans="1:16" s="3" customFormat="1" ht="12.75">
      <c r="A591" s="53" t="s">
        <v>1048</v>
      </c>
      <c r="B591" s="68" t="s">
        <v>183</v>
      </c>
      <c r="C591" s="53" t="s">
        <v>405</v>
      </c>
      <c r="D591" s="53" t="s">
        <v>184</v>
      </c>
      <c r="E591" s="53" t="s">
        <v>9</v>
      </c>
      <c r="F591" s="48">
        <f t="shared" si="67"/>
        <v>1696.5</v>
      </c>
      <c r="G591" s="48">
        <f t="shared" si="67"/>
        <v>0</v>
      </c>
      <c r="H591" s="48">
        <f t="shared" si="67"/>
        <v>0</v>
      </c>
      <c r="I591" s="18"/>
      <c r="J591" s="18"/>
      <c r="K591" s="18"/>
      <c r="M591" s="41"/>
      <c r="O591" s="18"/>
      <c r="P591" s="101"/>
    </row>
    <row r="592" spans="1:16" s="3" customFormat="1" ht="25.5">
      <c r="A592" s="53" t="s">
        <v>1049</v>
      </c>
      <c r="B592" s="68" t="s">
        <v>150</v>
      </c>
      <c r="C592" s="53" t="s">
        <v>405</v>
      </c>
      <c r="D592" s="53" t="s">
        <v>151</v>
      </c>
      <c r="E592" s="53" t="s">
        <v>149</v>
      </c>
      <c r="F592" s="48">
        <v>1696.5</v>
      </c>
      <c r="G592" s="48">
        <v>0</v>
      </c>
      <c r="H592" s="48">
        <v>0</v>
      </c>
      <c r="I592" s="18"/>
      <c r="J592" s="18"/>
      <c r="K592" s="18"/>
      <c r="M592" s="41"/>
      <c r="O592" s="18"/>
      <c r="P592" s="106">
        <v>1696.5</v>
      </c>
    </row>
    <row r="593" spans="1:16" s="3" customFormat="1" ht="30" customHeight="1">
      <c r="A593" s="53" t="s">
        <v>1050</v>
      </c>
      <c r="B593" s="83" t="s">
        <v>1035</v>
      </c>
      <c r="C593" s="63" t="s">
        <v>230</v>
      </c>
      <c r="D593" s="63"/>
      <c r="E593" s="63"/>
      <c r="F593" s="66">
        <f>F594</f>
        <v>1424.9</v>
      </c>
      <c r="G593" s="66">
        <f>G594</f>
        <v>1154.9</v>
      </c>
      <c r="H593" s="66">
        <f>H594</f>
        <v>1154.9</v>
      </c>
      <c r="I593" s="18"/>
      <c r="J593" s="18"/>
      <c r="K593" s="18"/>
      <c r="O593" s="18"/>
      <c r="P593" s="101"/>
    </row>
    <row r="594" spans="1:16" s="16" customFormat="1" ht="25.5">
      <c r="A594" s="53" t="s">
        <v>1051</v>
      </c>
      <c r="B594" s="81" t="s">
        <v>169</v>
      </c>
      <c r="C594" s="65" t="s">
        <v>231</v>
      </c>
      <c r="D594" s="65"/>
      <c r="E594" s="65"/>
      <c r="F594" s="57">
        <f>F598+F607+F595+F601+F604</f>
        <v>1424.9</v>
      </c>
      <c r="G594" s="57">
        <f>G598+G607+G595</f>
        <v>1154.9</v>
      </c>
      <c r="H594" s="57">
        <f>H598+H607+H595</f>
        <v>1154.9</v>
      </c>
      <c r="I594" s="22"/>
      <c r="J594" s="22"/>
      <c r="K594" s="22"/>
      <c r="O594" s="22"/>
      <c r="P594" s="105"/>
    </row>
    <row r="595" spans="1:16" s="16" customFormat="1" ht="120.75" customHeight="1">
      <c r="A595" s="53" t="s">
        <v>1052</v>
      </c>
      <c r="B595" s="52" t="s">
        <v>848</v>
      </c>
      <c r="C595" s="53" t="s">
        <v>847</v>
      </c>
      <c r="D595" s="53"/>
      <c r="E595" s="53"/>
      <c r="F595" s="48">
        <f aca="true" t="shared" si="68" ref="F595:H596">F596</f>
        <v>954.9</v>
      </c>
      <c r="G595" s="48">
        <f t="shared" si="68"/>
        <v>954.9</v>
      </c>
      <c r="H595" s="48">
        <f t="shared" si="68"/>
        <v>954.9</v>
      </c>
      <c r="I595" s="22"/>
      <c r="J595" s="22"/>
      <c r="K595" s="22"/>
      <c r="O595" s="22"/>
      <c r="P595" s="105"/>
    </row>
    <row r="596" spans="1:16" s="16" customFormat="1" ht="12.75">
      <c r="A596" s="53" t="s">
        <v>1053</v>
      </c>
      <c r="B596" s="68" t="s">
        <v>119</v>
      </c>
      <c r="C596" s="53" t="s">
        <v>847</v>
      </c>
      <c r="D596" s="53" t="s">
        <v>122</v>
      </c>
      <c r="E596" s="53" t="s">
        <v>422</v>
      </c>
      <c r="F596" s="48">
        <f t="shared" si="68"/>
        <v>954.9</v>
      </c>
      <c r="G596" s="48">
        <f t="shared" si="68"/>
        <v>954.9</v>
      </c>
      <c r="H596" s="48">
        <f t="shared" si="68"/>
        <v>954.9</v>
      </c>
      <c r="I596" s="22"/>
      <c r="J596" s="22"/>
      <c r="K596" s="22"/>
      <c r="O596" s="22"/>
      <c r="P596" s="105"/>
    </row>
    <row r="597" spans="1:16" s="16" customFormat="1" ht="38.25">
      <c r="A597" s="53" t="s">
        <v>1054</v>
      </c>
      <c r="B597" s="69" t="s">
        <v>6</v>
      </c>
      <c r="C597" s="53" t="s">
        <v>847</v>
      </c>
      <c r="D597" s="53" t="s">
        <v>159</v>
      </c>
      <c r="E597" s="53" t="s">
        <v>160</v>
      </c>
      <c r="F597" s="48">
        <v>954.9</v>
      </c>
      <c r="G597" s="48">
        <v>954.9</v>
      </c>
      <c r="H597" s="48">
        <v>954.9</v>
      </c>
      <c r="I597" s="22"/>
      <c r="J597" s="22"/>
      <c r="K597" s="22"/>
      <c r="O597" s="22"/>
      <c r="P597" s="105"/>
    </row>
    <row r="598" spans="1:16" s="15" customFormat="1" ht="120.75" customHeight="1">
      <c r="A598" s="53" t="s">
        <v>1055</v>
      </c>
      <c r="B598" s="52" t="s">
        <v>849</v>
      </c>
      <c r="C598" s="53" t="s">
        <v>847</v>
      </c>
      <c r="D598" s="53"/>
      <c r="E598" s="53"/>
      <c r="F598" s="48">
        <f aca="true" t="shared" si="69" ref="F598:H599">F599</f>
        <v>107.7</v>
      </c>
      <c r="G598" s="48">
        <f t="shared" si="69"/>
        <v>107.7</v>
      </c>
      <c r="H598" s="48">
        <f t="shared" si="69"/>
        <v>107.7</v>
      </c>
      <c r="I598" s="18"/>
      <c r="J598" s="18"/>
      <c r="K598" s="18"/>
      <c r="O598" s="18"/>
      <c r="P598" s="101"/>
    </row>
    <row r="599" spans="1:16" s="15" customFormat="1" ht="18.75" customHeight="1">
      <c r="A599" s="53" t="s">
        <v>1056</v>
      </c>
      <c r="B599" s="68" t="s">
        <v>119</v>
      </c>
      <c r="C599" s="53" t="s">
        <v>847</v>
      </c>
      <c r="D599" s="53" t="s">
        <v>122</v>
      </c>
      <c r="E599" s="53" t="s">
        <v>422</v>
      </c>
      <c r="F599" s="48">
        <f t="shared" si="69"/>
        <v>107.7</v>
      </c>
      <c r="G599" s="48">
        <f t="shared" si="69"/>
        <v>107.7</v>
      </c>
      <c r="H599" s="48">
        <f t="shared" si="69"/>
        <v>107.7</v>
      </c>
      <c r="I599" s="18"/>
      <c r="J599" s="18"/>
      <c r="K599" s="18"/>
      <c r="O599" s="18"/>
      <c r="P599" s="101"/>
    </row>
    <row r="600" spans="1:16" s="15" customFormat="1" ht="38.25">
      <c r="A600" s="53" t="s">
        <v>1057</v>
      </c>
      <c r="B600" s="69" t="s">
        <v>6</v>
      </c>
      <c r="C600" s="53" t="s">
        <v>847</v>
      </c>
      <c r="D600" s="53" t="s">
        <v>159</v>
      </c>
      <c r="E600" s="53" t="s">
        <v>160</v>
      </c>
      <c r="F600" s="48">
        <v>107.7</v>
      </c>
      <c r="G600" s="48">
        <v>107.7</v>
      </c>
      <c r="H600" s="48">
        <v>107.7</v>
      </c>
      <c r="I600" s="18"/>
      <c r="J600" s="18"/>
      <c r="K600" s="18"/>
      <c r="O600" s="18"/>
      <c r="P600" s="101"/>
    </row>
    <row r="601" spans="1:16" s="15" customFormat="1" ht="114.75">
      <c r="A601" s="53" t="s">
        <v>1058</v>
      </c>
      <c r="B601" s="52" t="s">
        <v>1092</v>
      </c>
      <c r="C601" s="53" t="s">
        <v>1091</v>
      </c>
      <c r="D601" s="53"/>
      <c r="E601" s="53"/>
      <c r="F601" s="48">
        <f aca="true" t="shared" si="70" ref="F601:H602">F602</f>
        <v>270</v>
      </c>
      <c r="G601" s="48">
        <f t="shared" si="70"/>
        <v>0</v>
      </c>
      <c r="H601" s="48">
        <f t="shared" si="70"/>
        <v>0</v>
      </c>
      <c r="I601" s="18"/>
      <c r="J601" s="18"/>
      <c r="K601" s="18"/>
      <c r="O601" s="18"/>
      <c r="P601" s="101"/>
    </row>
    <row r="602" spans="1:16" s="15" customFormat="1" ht="12.75">
      <c r="A602" s="53" t="s">
        <v>1059</v>
      </c>
      <c r="B602" s="68" t="s">
        <v>119</v>
      </c>
      <c r="C602" s="53" t="s">
        <v>1091</v>
      </c>
      <c r="D602" s="53" t="s">
        <v>122</v>
      </c>
      <c r="E602" s="53" t="s">
        <v>422</v>
      </c>
      <c r="F602" s="48">
        <f t="shared" si="70"/>
        <v>270</v>
      </c>
      <c r="G602" s="48">
        <f t="shared" si="70"/>
        <v>0</v>
      </c>
      <c r="H602" s="48">
        <f t="shared" si="70"/>
        <v>0</v>
      </c>
      <c r="I602" s="18"/>
      <c r="J602" s="18"/>
      <c r="K602" s="18"/>
      <c r="O602" s="18"/>
      <c r="P602" s="101"/>
    </row>
    <row r="603" spans="1:16" s="15" customFormat="1" ht="38.25">
      <c r="A603" s="53" t="s">
        <v>1060</v>
      </c>
      <c r="B603" s="69" t="s">
        <v>6</v>
      </c>
      <c r="C603" s="53" t="s">
        <v>1091</v>
      </c>
      <c r="D603" s="53" t="s">
        <v>159</v>
      </c>
      <c r="E603" s="53" t="s">
        <v>160</v>
      </c>
      <c r="F603" s="48">
        <v>270</v>
      </c>
      <c r="G603" s="48">
        <v>0</v>
      </c>
      <c r="H603" s="48">
        <v>0</v>
      </c>
      <c r="I603" s="18"/>
      <c r="J603" s="18"/>
      <c r="K603" s="18"/>
      <c r="O603" s="18"/>
      <c r="P603" s="106">
        <v>270</v>
      </c>
    </row>
    <row r="604" spans="1:16" s="15" customFormat="1" ht="114.75">
      <c r="A604" s="53" t="s">
        <v>1061</v>
      </c>
      <c r="B604" s="52" t="s">
        <v>1093</v>
      </c>
      <c r="C604" s="53" t="s">
        <v>1091</v>
      </c>
      <c r="D604" s="53"/>
      <c r="E604" s="53"/>
      <c r="F604" s="48">
        <f aca="true" t="shared" si="71" ref="F604:H605">F605</f>
        <v>30</v>
      </c>
      <c r="G604" s="48">
        <f t="shared" si="71"/>
        <v>0</v>
      </c>
      <c r="H604" s="48">
        <f t="shared" si="71"/>
        <v>0</v>
      </c>
      <c r="I604" s="18"/>
      <c r="J604" s="18"/>
      <c r="K604" s="18"/>
      <c r="O604" s="18"/>
      <c r="P604" s="101"/>
    </row>
    <row r="605" spans="1:16" s="15" customFormat="1" ht="12.75">
      <c r="A605" s="53" t="s">
        <v>1062</v>
      </c>
      <c r="B605" s="68" t="s">
        <v>119</v>
      </c>
      <c r="C605" s="53" t="s">
        <v>1091</v>
      </c>
      <c r="D605" s="53" t="s">
        <v>122</v>
      </c>
      <c r="E605" s="53" t="s">
        <v>422</v>
      </c>
      <c r="F605" s="48">
        <f t="shared" si="71"/>
        <v>30</v>
      </c>
      <c r="G605" s="48">
        <f t="shared" si="71"/>
        <v>0</v>
      </c>
      <c r="H605" s="48">
        <f t="shared" si="71"/>
        <v>0</v>
      </c>
      <c r="I605" s="18"/>
      <c r="J605" s="18"/>
      <c r="K605" s="18"/>
      <c r="O605" s="18"/>
      <c r="P605" s="101"/>
    </row>
    <row r="606" spans="1:16" s="15" customFormat="1" ht="38.25">
      <c r="A606" s="53" t="s">
        <v>1156</v>
      </c>
      <c r="B606" s="69" t="s">
        <v>6</v>
      </c>
      <c r="C606" s="53" t="s">
        <v>1091</v>
      </c>
      <c r="D606" s="53" t="s">
        <v>159</v>
      </c>
      <c r="E606" s="53" t="s">
        <v>160</v>
      </c>
      <c r="F606" s="48">
        <v>30</v>
      </c>
      <c r="G606" s="48">
        <v>0</v>
      </c>
      <c r="H606" s="48">
        <v>0</v>
      </c>
      <c r="I606" s="18"/>
      <c r="J606" s="18"/>
      <c r="K606" s="18"/>
      <c r="O606" s="18"/>
      <c r="P606" s="106">
        <v>30</v>
      </c>
    </row>
    <row r="607" spans="1:16" s="15" customFormat="1" ht="85.5" customHeight="1">
      <c r="A607" s="53" t="s">
        <v>1157</v>
      </c>
      <c r="B607" s="52" t="s">
        <v>838</v>
      </c>
      <c r="C607" s="53" t="s">
        <v>630</v>
      </c>
      <c r="D607" s="53"/>
      <c r="E607" s="53"/>
      <c r="F607" s="48">
        <f aca="true" t="shared" si="72" ref="F607:H608">F608</f>
        <v>62.3</v>
      </c>
      <c r="G607" s="48">
        <f t="shared" si="72"/>
        <v>92.3</v>
      </c>
      <c r="H607" s="48">
        <f t="shared" si="72"/>
        <v>92.3</v>
      </c>
      <c r="I607" s="18"/>
      <c r="J607" s="18"/>
      <c r="K607" s="18"/>
      <c r="O607" s="18"/>
      <c r="P607" s="101"/>
    </row>
    <row r="608" spans="1:16" s="15" customFormat="1" ht="18.75" customHeight="1">
      <c r="A608" s="53" t="s">
        <v>31</v>
      </c>
      <c r="B608" s="68" t="s">
        <v>119</v>
      </c>
      <c r="C608" s="53" t="s">
        <v>630</v>
      </c>
      <c r="D608" s="53" t="s">
        <v>122</v>
      </c>
      <c r="E608" s="53" t="s">
        <v>422</v>
      </c>
      <c r="F608" s="48">
        <f t="shared" si="72"/>
        <v>62.3</v>
      </c>
      <c r="G608" s="48">
        <f t="shared" si="72"/>
        <v>92.3</v>
      </c>
      <c r="H608" s="48">
        <f t="shared" si="72"/>
        <v>92.3</v>
      </c>
      <c r="I608" s="18"/>
      <c r="J608" s="18"/>
      <c r="K608" s="18"/>
      <c r="O608" s="18"/>
      <c r="P608" s="101"/>
    </row>
    <row r="609" spans="1:16" s="15" customFormat="1" ht="38.25">
      <c r="A609" s="53" t="s">
        <v>1158</v>
      </c>
      <c r="B609" s="69" t="s">
        <v>6</v>
      </c>
      <c r="C609" s="53" t="s">
        <v>630</v>
      </c>
      <c r="D609" s="53" t="s">
        <v>159</v>
      </c>
      <c r="E609" s="53" t="s">
        <v>160</v>
      </c>
      <c r="F609" s="48">
        <f>92.3-30</f>
        <v>62.3</v>
      </c>
      <c r="G609" s="48">
        <v>92.3</v>
      </c>
      <c r="H609" s="48">
        <v>92.3</v>
      </c>
      <c r="I609" s="18"/>
      <c r="J609" s="18"/>
      <c r="K609" s="18"/>
      <c r="O609" s="18"/>
      <c r="P609" s="106">
        <v>-30</v>
      </c>
    </row>
    <row r="610" spans="1:16" s="15" customFormat="1" ht="20.25" customHeight="1">
      <c r="A610" s="53" t="s">
        <v>1159</v>
      </c>
      <c r="B610" s="70" t="s">
        <v>360</v>
      </c>
      <c r="C610" s="63" t="s">
        <v>232</v>
      </c>
      <c r="D610" s="63"/>
      <c r="E610" s="63"/>
      <c r="F610" s="66">
        <f>F615+F611</f>
        <v>34844.4</v>
      </c>
      <c r="G610" s="66">
        <f>G615+G611</f>
        <v>33039.1</v>
      </c>
      <c r="H610" s="66">
        <f>H615+H611</f>
        <v>33039.1</v>
      </c>
      <c r="I610" s="19"/>
      <c r="J610" s="18"/>
      <c r="K610" s="18"/>
      <c r="O610" s="18"/>
      <c r="P610" s="101"/>
    </row>
    <row r="611" spans="1:16" s="15" customFormat="1" ht="20.25" customHeight="1">
      <c r="A611" s="53" t="s">
        <v>1160</v>
      </c>
      <c r="B611" s="84" t="s">
        <v>427</v>
      </c>
      <c r="C611" s="65" t="s">
        <v>429</v>
      </c>
      <c r="D611" s="65"/>
      <c r="E611" s="65"/>
      <c r="F611" s="57">
        <f>SUM(F612)</f>
        <v>2223.7</v>
      </c>
      <c r="G611" s="57">
        <f>SUM(G612)</f>
        <v>2223.7</v>
      </c>
      <c r="H611" s="57">
        <f>SUM(H612)</f>
        <v>2223.7</v>
      </c>
      <c r="I611" s="19"/>
      <c r="J611" s="18"/>
      <c r="K611" s="18"/>
      <c r="L611" s="15">
        <v>2144.8</v>
      </c>
      <c r="O611" s="18"/>
      <c r="P611" s="101"/>
    </row>
    <row r="612" spans="1:16" s="15" customFormat="1" ht="81" customHeight="1">
      <c r="A612" s="53" t="s">
        <v>1161</v>
      </c>
      <c r="B612" s="77" t="s">
        <v>736</v>
      </c>
      <c r="C612" s="53" t="s">
        <v>737</v>
      </c>
      <c r="D612" s="65"/>
      <c r="E612" s="65"/>
      <c r="F612" s="48">
        <f aca="true" t="shared" si="73" ref="F612:I613">SUM(F613)</f>
        <v>2223.7</v>
      </c>
      <c r="G612" s="48">
        <f t="shared" si="73"/>
        <v>2223.7</v>
      </c>
      <c r="H612" s="48">
        <f t="shared" si="73"/>
        <v>2223.7</v>
      </c>
      <c r="I612" s="35">
        <f>SUM(I613)</f>
        <v>0</v>
      </c>
      <c r="J612" s="36"/>
      <c r="K612" s="37"/>
      <c r="L612" s="37"/>
      <c r="O612" s="18"/>
      <c r="P612" s="101"/>
    </row>
    <row r="613" spans="1:16" s="15" customFormat="1" ht="20.25" customHeight="1">
      <c r="A613" s="53" t="s">
        <v>1162</v>
      </c>
      <c r="B613" s="68" t="s">
        <v>14</v>
      </c>
      <c r="C613" s="53" t="s">
        <v>737</v>
      </c>
      <c r="D613" s="53" t="s">
        <v>19</v>
      </c>
      <c r="E613" s="53" t="s">
        <v>422</v>
      </c>
      <c r="F613" s="48">
        <f t="shared" si="73"/>
        <v>2223.7</v>
      </c>
      <c r="G613" s="48">
        <f t="shared" si="73"/>
        <v>2223.7</v>
      </c>
      <c r="H613" s="48">
        <f t="shared" si="73"/>
        <v>2223.7</v>
      </c>
      <c r="I613" s="35">
        <f t="shared" si="73"/>
        <v>0</v>
      </c>
      <c r="J613" s="36"/>
      <c r="K613" s="37"/>
      <c r="L613" s="37"/>
      <c r="O613" s="18"/>
      <c r="P613" s="101"/>
    </row>
    <row r="614" spans="1:16" s="15" customFormat="1" ht="20.25" customHeight="1">
      <c r="A614" s="53" t="s">
        <v>1163</v>
      </c>
      <c r="B614" s="68" t="s">
        <v>15</v>
      </c>
      <c r="C614" s="53" t="s">
        <v>737</v>
      </c>
      <c r="D614" s="53" t="s">
        <v>18</v>
      </c>
      <c r="E614" s="53" t="s">
        <v>428</v>
      </c>
      <c r="F614" s="48">
        <v>2223.7</v>
      </c>
      <c r="G614" s="48">
        <v>2223.7</v>
      </c>
      <c r="H614" s="48">
        <v>2223.7</v>
      </c>
      <c r="I614" s="35">
        <v>0</v>
      </c>
      <c r="J614" s="36"/>
      <c r="K614" s="37">
        <v>4332.8</v>
      </c>
      <c r="L614" s="37"/>
      <c r="O614" s="18"/>
      <c r="P614" s="101"/>
    </row>
    <row r="615" spans="1:16" s="15" customFormat="1" ht="18.75" customHeight="1">
      <c r="A615" s="53" t="s">
        <v>1164</v>
      </c>
      <c r="B615" s="71" t="s">
        <v>322</v>
      </c>
      <c r="C615" s="65" t="s">
        <v>233</v>
      </c>
      <c r="D615" s="65"/>
      <c r="E615" s="65"/>
      <c r="F615" s="57">
        <f>F616</f>
        <v>32620.7</v>
      </c>
      <c r="G615" s="57">
        <f>G616</f>
        <v>30815.4</v>
      </c>
      <c r="H615" s="57">
        <f>H616</f>
        <v>30815.4</v>
      </c>
      <c r="I615" s="18"/>
      <c r="J615" s="18"/>
      <c r="K615" s="18"/>
      <c r="O615" s="18"/>
      <c r="P615" s="101"/>
    </row>
    <row r="616" spans="1:16" s="15" customFormat="1" ht="105.75" customHeight="1">
      <c r="A616" s="53" t="s">
        <v>1165</v>
      </c>
      <c r="B616" s="52" t="s">
        <v>5</v>
      </c>
      <c r="C616" s="53" t="s">
        <v>631</v>
      </c>
      <c r="D616" s="53"/>
      <c r="E616" s="53"/>
      <c r="F616" s="48">
        <f aca="true" t="shared" si="74" ref="F616:H617">F617</f>
        <v>32620.7</v>
      </c>
      <c r="G616" s="48">
        <f t="shared" si="74"/>
        <v>30815.4</v>
      </c>
      <c r="H616" s="48">
        <f t="shared" si="74"/>
        <v>30815.4</v>
      </c>
      <c r="I616" s="18"/>
      <c r="J616" s="18"/>
      <c r="K616" s="18"/>
      <c r="O616" s="18"/>
      <c r="P616" s="101"/>
    </row>
    <row r="617" spans="1:16" s="15" customFormat="1" ht="21" customHeight="1">
      <c r="A617" s="53" t="s">
        <v>1166</v>
      </c>
      <c r="B617" s="69" t="s">
        <v>119</v>
      </c>
      <c r="C617" s="53" t="s">
        <v>631</v>
      </c>
      <c r="D617" s="53" t="s">
        <v>122</v>
      </c>
      <c r="E617" s="53" t="s">
        <v>422</v>
      </c>
      <c r="F617" s="48">
        <f t="shared" si="74"/>
        <v>32620.7</v>
      </c>
      <c r="G617" s="48">
        <f t="shared" si="74"/>
        <v>30815.4</v>
      </c>
      <c r="H617" s="48">
        <f t="shared" si="74"/>
        <v>30815.4</v>
      </c>
      <c r="I617" s="18"/>
      <c r="J617" s="18"/>
      <c r="K617" s="18"/>
      <c r="L617" s="15">
        <v>1550.7</v>
      </c>
      <c r="O617" s="18"/>
      <c r="P617" s="101"/>
    </row>
    <row r="618" spans="1:16" s="15" customFormat="1" ht="42.75" customHeight="1">
      <c r="A618" s="53" t="s">
        <v>32</v>
      </c>
      <c r="B618" s="69" t="s">
        <v>6</v>
      </c>
      <c r="C618" s="53" t="s">
        <v>631</v>
      </c>
      <c r="D618" s="53" t="s">
        <v>159</v>
      </c>
      <c r="E618" s="53" t="s">
        <v>158</v>
      </c>
      <c r="F618" s="48">
        <f>30815.4+1805.3</f>
        <v>32620.7</v>
      </c>
      <c r="G618" s="48">
        <v>30815.4</v>
      </c>
      <c r="H618" s="48">
        <v>30815.4</v>
      </c>
      <c r="I618" s="18"/>
      <c r="J618" s="18"/>
      <c r="K618" s="18"/>
      <c r="O618" s="18"/>
      <c r="P618" s="101"/>
    </row>
    <row r="619" spans="1:16" s="15" customFormat="1" ht="45" customHeight="1">
      <c r="A619" s="53" t="s">
        <v>1167</v>
      </c>
      <c r="B619" s="83" t="s">
        <v>312</v>
      </c>
      <c r="C619" s="63" t="s">
        <v>234</v>
      </c>
      <c r="D619" s="63"/>
      <c r="E619" s="63"/>
      <c r="F619" s="66">
        <f>F626+F620</f>
        <v>3548.1</v>
      </c>
      <c r="G619" s="66">
        <f>G626+G620</f>
        <v>3299.9</v>
      </c>
      <c r="H619" s="66">
        <f>H626+H620</f>
        <v>3299.9</v>
      </c>
      <c r="I619" s="18"/>
      <c r="J619" s="18"/>
      <c r="K619" s="18"/>
      <c r="O619" s="18"/>
      <c r="P619" s="101"/>
    </row>
    <row r="620" spans="1:17" s="15" customFormat="1" ht="30.75" customHeight="1">
      <c r="A620" s="53" t="s">
        <v>1168</v>
      </c>
      <c r="B620" s="84" t="s">
        <v>170</v>
      </c>
      <c r="C620" s="65" t="s">
        <v>235</v>
      </c>
      <c r="D620" s="65"/>
      <c r="E620" s="65"/>
      <c r="F620" s="56">
        <f>F621</f>
        <v>3030.1</v>
      </c>
      <c r="G620" s="56">
        <f>G621</f>
        <v>2805.1</v>
      </c>
      <c r="H620" s="56">
        <f>H621</f>
        <v>2805.1</v>
      </c>
      <c r="I620" s="18"/>
      <c r="J620" s="18"/>
      <c r="K620" s="18"/>
      <c r="O620" s="24"/>
      <c r="P620" s="102"/>
      <c r="Q620" s="38"/>
    </row>
    <row r="621" spans="1:17" s="15" customFormat="1" ht="82.5" customHeight="1">
      <c r="A621" s="53" t="s">
        <v>1169</v>
      </c>
      <c r="B621" s="73" t="s">
        <v>385</v>
      </c>
      <c r="C621" s="53" t="s">
        <v>431</v>
      </c>
      <c r="D621" s="53"/>
      <c r="E621" s="53"/>
      <c r="F621" s="55">
        <f>F622+F624</f>
        <v>3030.1</v>
      </c>
      <c r="G621" s="55">
        <f>G622+G624</f>
        <v>2805.1</v>
      </c>
      <c r="H621" s="55">
        <f>H622+H624</f>
        <v>2805.1</v>
      </c>
      <c r="I621" s="18"/>
      <c r="J621" s="18"/>
      <c r="K621" s="18"/>
      <c r="O621" s="24"/>
      <c r="P621" s="103"/>
      <c r="Q621" s="39"/>
    </row>
    <row r="622" spans="1:17" s="14" customFormat="1" ht="63" customHeight="1">
      <c r="A622" s="53" t="s">
        <v>1170</v>
      </c>
      <c r="B622" s="68" t="s">
        <v>46</v>
      </c>
      <c r="C622" s="53" t="s">
        <v>431</v>
      </c>
      <c r="D622" s="53" t="s">
        <v>44</v>
      </c>
      <c r="E622" s="53" t="s">
        <v>422</v>
      </c>
      <c r="F622" s="55">
        <f>F623</f>
        <v>2780.6</v>
      </c>
      <c r="G622" s="55">
        <f>G623</f>
        <v>2555.6</v>
      </c>
      <c r="H622" s="55">
        <f>H623</f>
        <v>2555.6</v>
      </c>
      <c r="I622" s="21"/>
      <c r="J622" s="21"/>
      <c r="K622" s="21"/>
      <c r="O622" s="30"/>
      <c r="P622" s="104"/>
      <c r="Q622" s="40"/>
    </row>
    <row r="623" spans="1:17" s="15" customFormat="1" ht="25.5">
      <c r="A623" s="53" t="s">
        <v>1171</v>
      </c>
      <c r="B623" s="68" t="s">
        <v>130</v>
      </c>
      <c r="C623" s="53" t="s">
        <v>431</v>
      </c>
      <c r="D623" s="53" t="s">
        <v>45</v>
      </c>
      <c r="E623" s="53" t="s">
        <v>320</v>
      </c>
      <c r="F623" s="55">
        <f>2555.6+225</f>
        <v>2780.6</v>
      </c>
      <c r="G623" s="55">
        <v>2555.6</v>
      </c>
      <c r="H623" s="55">
        <v>2555.6</v>
      </c>
      <c r="I623" s="18"/>
      <c r="J623" s="18"/>
      <c r="K623" s="18"/>
      <c r="O623" s="24"/>
      <c r="P623" s="111" t="s">
        <v>78</v>
      </c>
      <c r="Q623" s="40"/>
    </row>
    <row r="624" spans="1:17" s="15" customFormat="1" ht="39.75" customHeight="1">
      <c r="A624" s="53" t="s">
        <v>1172</v>
      </c>
      <c r="B624" s="52" t="s">
        <v>16</v>
      </c>
      <c r="C624" s="53" t="s">
        <v>431</v>
      </c>
      <c r="D624" s="53" t="s">
        <v>11</v>
      </c>
      <c r="E624" s="53" t="s">
        <v>422</v>
      </c>
      <c r="F624" s="55">
        <f>F625</f>
        <v>249.5</v>
      </c>
      <c r="G624" s="55">
        <f>G625</f>
        <v>249.5</v>
      </c>
      <c r="H624" s="55">
        <f>H625</f>
        <v>249.5</v>
      </c>
      <c r="I624" s="18"/>
      <c r="J624" s="18"/>
      <c r="K624" s="18"/>
      <c r="O624" s="24"/>
      <c r="P624" s="104"/>
      <c r="Q624" s="40"/>
    </row>
    <row r="625" spans="1:17" s="15" customFormat="1" ht="30" customHeight="1">
      <c r="A625" s="53" t="s">
        <v>1173</v>
      </c>
      <c r="B625" s="52" t="s">
        <v>17</v>
      </c>
      <c r="C625" s="53" t="s">
        <v>431</v>
      </c>
      <c r="D625" s="53" t="s">
        <v>7</v>
      </c>
      <c r="E625" s="53" t="s">
        <v>320</v>
      </c>
      <c r="F625" s="55">
        <v>249.5</v>
      </c>
      <c r="G625" s="55">
        <v>249.5</v>
      </c>
      <c r="H625" s="55">
        <v>249.5</v>
      </c>
      <c r="I625" s="18"/>
      <c r="J625" s="18"/>
      <c r="K625" s="18"/>
      <c r="O625" s="24"/>
      <c r="P625" s="104"/>
      <c r="Q625" s="40"/>
    </row>
    <row r="626" spans="1:17" s="15" customFormat="1" ht="44.25" customHeight="1">
      <c r="A626" s="53" t="s">
        <v>1174</v>
      </c>
      <c r="B626" s="71" t="s">
        <v>846</v>
      </c>
      <c r="C626" s="65" t="s">
        <v>432</v>
      </c>
      <c r="D626" s="65"/>
      <c r="E626" s="65"/>
      <c r="F626" s="57">
        <f>F627</f>
        <v>518</v>
      </c>
      <c r="G626" s="57">
        <f>G627</f>
        <v>494.8</v>
      </c>
      <c r="H626" s="57">
        <f>H627</f>
        <v>494.8</v>
      </c>
      <c r="I626" s="18"/>
      <c r="J626" s="18"/>
      <c r="K626" s="18"/>
      <c r="M626" s="41">
        <v>14.5</v>
      </c>
      <c r="O626" s="24"/>
      <c r="P626" s="104"/>
      <c r="Q626" s="40"/>
    </row>
    <row r="627" spans="1:17" s="15" customFormat="1" ht="96" customHeight="1">
      <c r="A627" s="53" t="s">
        <v>1175</v>
      </c>
      <c r="B627" s="52" t="s">
        <v>566</v>
      </c>
      <c r="C627" s="53" t="s">
        <v>433</v>
      </c>
      <c r="D627" s="53"/>
      <c r="E627" s="53"/>
      <c r="F627" s="48">
        <f>SUM(F632+F630+F628)</f>
        <v>518</v>
      </c>
      <c r="G627" s="48">
        <f>SUM(G632+G630+G628)</f>
        <v>494.8</v>
      </c>
      <c r="H627" s="48">
        <f>SUM(H632+H630+H628)</f>
        <v>494.8</v>
      </c>
      <c r="I627" s="18"/>
      <c r="J627" s="18"/>
      <c r="K627" s="18"/>
      <c r="O627" s="24"/>
      <c r="P627" s="103"/>
      <c r="Q627" s="39"/>
    </row>
    <row r="628" spans="1:17" s="15" customFormat="1" ht="61.5" customHeight="1">
      <c r="A628" s="53" t="s">
        <v>540</v>
      </c>
      <c r="B628" s="68" t="s">
        <v>46</v>
      </c>
      <c r="C628" s="53" t="s">
        <v>433</v>
      </c>
      <c r="D628" s="53" t="s">
        <v>44</v>
      </c>
      <c r="E628" s="53" t="s">
        <v>539</v>
      </c>
      <c r="F628" s="48">
        <f>SUM(F629)</f>
        <v>92.7</v>
      </c>
      <c r="G628" s="48">
        <f aca="true" t="shared" si="75" ref="G628:H632">SUM(G629)</f>
        <v>84.5</v>
      </c>
      <c r="H628" s="48">
        <f t="shared" si="75"/>
        <v>84.5</v>
      </c>
      <c r="I628" s="18"/>
      <c r="J628" s="18"/>
      <c r="K628" s="18"/>
      <c r="O628" s="24"/>
      <c r="P628" s="103"/>
      <c r="Q628" s="39"/>
    </row>
    <row r="629" spans="1:17" s="15" customFormat="1" ht="42" customHeight="1">
      <c r="A629" s="53" t="s">
        <v>1176</v>
      </c>
      <c r="B629" s="68" t="s">
        <v>130</v>
      </c>
      <c r="C629" s="53" t="s">
        <v>433</v>
      </c>
      <c r="D629" s="53" t="s">
        <v>45</v>
      </c>
      <c r="E629" s="53" t="s">
        <v>850</v>
      </c>
      <c r="F629" s="48">
        <f>84.5+8.2</f>
        <v>92.7</v>
      </c>
      <c r="G629" s="48">
        <v>84.5</v>
      </c>
      <c r="H629" s="48">
        <v>84.5</v>
      </c>
      <c r="I629" s="18"/>
      <c r="J629" s="18"/>
      <c r="K629" s="18"/>
      <c r="O629" s="24"/>
      <c r="P629" s="111" t="s">
        <v>1100</v>
      </c>
      <c r="Q629" s="39"/>
    </row>
    <row r="630" spans="1:17" s="15" customFormat="1" ht="42" customHeight="1">
      <c r="A630" s="53" t="s">
        <v>1177</v>
      </c>
      <c r="B630" s="52" t="s">
        <v>16</v>
      </c>
      <c r="C630" s="53" t="s">
        <v>433</v>
      </c>
      <c r="D630" s="53" t="s">
        <v>11</v>
      </c>
      <c r="E630" s="53" t="s">
        <v>539</v>
      </c>
      <c r="F630" s="48">
        <f>SUM(F631)</f>
        <v>6.3</v>
      </c>
      <c r="G630" s="48">
        <f t="shared" si="75"/>
        <v>7</v>
      </c>
      <c r="H630" s="48">
        <f t="shared" si="75"/>
        <v>7</v>
      </c>
      <c r="I630" s="18"/>
      <c r="J630" s="18"/>
      <c r="K630" s="18"/>
      <c r="O630" s="24"/>
      <c r="P630" s="103"/>
      <c r="Q630" s="39"/>
    </row>
    <row r="631" spans="1:17" s="15" customFormat="1" ht="42" customHeight="1">
      <c r="A631" s="53" t="s">
        <v>1178</v>
      </c>
      <c r="B631" s="52" t="s">
        <v>17</v>
      </c>
      <c r="C631" s="53" t="s">
        <v>433</v>
      </c>
      <c r="D631" s="53" t="s">
        <v>7</v>
      </c>
      <c r="E631" s="53" t="s">
        <v>850</v>
      </c>
      <c r="F631" s="48">
        <f>7-0.7</f>
        <v>6.3</v>
      </c>
      <c r="G631" s="48">
        <v>7</v>
      </c>
      <c r="H631" s="48">
        <v>7</v>
      </c>
      <c r="I631" s="18"/>
      <c r="J631" s="18"/>
      <c r="K631" s="18"/>
      <c r="O631" s="24"/>
      <c r="P631" s="111" t="s">
        <v>1101</v>
      </c>
      <c r="Q631" s="39"/>
    </row>
    <row r="632" spans="1:16" s="15" customFormat="1" ht="30.75" customHeight="1">
      <c r="A632" s="53" t="s">
        <v>1179</v>
      </c>
      <c r="B632" s="52" t="s">
        <v>16</v>
      </c>
      <c r="C632" s="53" t="s">
        <v>433</v>
      </c>
      <c r="D632" s="53" t="s">
        <v>11</v>
      </c>
      <c r="E632" s="53" t="s">
        <v>539</v>
      </c>
      <c r="F632" s="48">
        <f>SUM(F633)</f>
        <v>419</v>
      </c>
      <c r="G632" s="48">
        <f t="shared" si="75"/>
        <v>403.3</v>
      </c>
      <c r="H632" s="48">
        <f t="shared" si="75"/>
        <v>403.3</v>
      </c>
      <c r="I632" s="18"/>
      <c r="J632" s="18"/>
      <c r="K632" s="18"/>
      <c r="O632" s="18"/>
      <c r="P632" s="101"/>
    </row>
    <row r="633" spans="1:16" s="15" customFormat="1" ht="30.75" customHeight="1">
      <c r="A633" s="53" t="s">
        <v>1180</v>
      </c>
      <c r="B633" s="52" t="s">
        <v>17</v>
      </c>
      <c r="C633" s="53" t="s">
        <v>433</v>
      </c>
      <c r="D633" s="53" t="s">
        <v>7</v>
      </c>
      <c r="E633" s="53" t="s">
        <v>538</v>
      </c>
      <c r="F633" s="48">
        <v>419</v>
      </c>
      <c r="G633" s="48">
        <v>403.3</v>
      </c>
      <c r="H633" s="48">
        <v>403.3</v>
      </c>
      <c r="I633" s="18"/>
      <c r="J633" s="18"/>
      <c r="K633" s="18"/>
      <c r="O633" s="18"/>
      <c r="P633" s="101"/>
    </row>
    <row r="634" spans="1:16" s="14" customFormat="1" ht="30.75" customHeight="1">
      <c r="A634" s="53" t="s">
        <v>1181</v>
      </c>
      <c r="B634" s="83" t="s">
        <v>307</v>
      </c>
      <c r="C634" s="63" t="s">
        <v>236</v>
      </c>
      <c r="D634" s="63"/>
      <c r="E634" s="63"/>
      <c r="F634" s="64">
        <f>F635+F648+F652+F663+F674</f>
        <v>117678.59999999999</v>
      </c>
      <c r="G634" s="64">
        <f>G635+G648+G652+G663</f>
        <v>110314.3</v>
      </c>
      <c r="H634" s="64">
        <f>H635+H648+H652+H663</f>
        <v>110314.3</v>
      </c>
      <c r="I634" s="21"/>
      <c r="J634" s="21"/>
      <c r="K634" s="21"/>
      <c r="O634" s="21"/>
      <c r="P634" s="108"/>
    </row>
    <row r="635" spans="1:16" s="15" customFormat="1" ht="55.5" customHeight="1">
      <c r="A635" s="53" t="s">
        <v>1182</v>
      </c>
      <c r="B635" s="81" t="s">
        <v>179</v>
      </c>
      <c r="C635" s="65" t="s">
        <v>237</v>
      </c>
      <c r="D635" s="65"/>
      <c r="E635" s="65"/>
      <c r="F635" s="56">
        <f>F639+F636+F642+F645</f>
        <v>72579.7</v>
      </c>
      <c r="G635" s="56">
        <f>G639+G636+G642</f>
        <v>71680.2</v>
      </c>
      <c r="H635" s="56">
        <f>H639+H636+H642</f>
        <v>71680.2</v>
      </c>
      <c r="I635" s="18"/>
      <c r="J635" s="18"/>
      <c r="K635" s="18"/>
      <c r="O635" s="18"/>
      <c r="P635" s="101"/>
    </row>
    <row r="636" spans="1:16" s="15" customFormat="1" ht="114" customHeight="1">
      <c r="A636" s="53" t="s">
        <v>1183</v>
      </c>
      <c r="B636" s="52" t="s">
        <v>571</v>
      </c>
      <c r="C636" s="53" t="s">
        <v>449</v>
      </c>
      <c r="D636" s="53"/>
      <c r="E636" s="53"/>
      <c r="F636" s="55">
        <f>F637</f>
        <v>6290</v>
      </c>
      <c r="G636" s="55">
        <f>G637</f>
        <v>6290</v>
      </c>
      <c r="H636" s="55">
        <f>H637</f>
        <v>6290</v>
      </c>
      <c r="I636" s="18"/>
      <c r="J636" s="18"/>
      <c r="K636" s="18"/>
      <c r="O636" s="18"/>
      <c r="P636" s="101"/>
    </row>
    <row r="637" spans="1:16" s="15" customFormat="1" ht="12.75">
      <c r="A637" s="53" t="s">
        <v>1184</v>
      </c>
      <c r="B637" s="68" t="s">
        <v>14</v>
      </c>
      <c r="C637" s="53" t="s">
        <v>449</v>
      </c>
      <c r="D637" s="53" t="s">
        <v>19</v>
      </c>
      <c r="E637" s="53" t="s">
        <v>423</v>
      </c>
      <c r="F637" s="55">
        <f>SUM(F638)</f>
        <v>6290</v>
      </c>
      <c r="G637" s="55">
        <f>SUM(G638)</f>
        <v>6290</v>
      </c>
      <c r="H637" s="55">
        <f>SUM(H638)</f>
        <v>6290</v>
      </c>
      <c r="I637" s="18"/>
      <c r="J637" s="18"/>
      <c r="K637" s="18"/>
      <c r="O637" s="18"/>
      <c r="P637" s="101"/>
    </row>
    <row r="638" spans="1:16" s="15" customFormat="1" ht="12.75">
      <c r="A638" s="53" t="s">
        <v>573</v>
      </c>
      <c r="B638" s="68" t="s">
        <v>35</v>
      </c>
      <c r="C638" s="53" t="s">
        <v>449</v>
      </c>
      <c r="D638" s="53" t="s">
        <v>36</v>
      </c>
      <c r="E638" s="53" t="s">
        <v>450</v>
      </c>
      <c r="F638" s="55">
        <v>6290</v>
      </c>
      <c r="G638" s="55">
        <v>6290</v>
      </c>
      <c r="H638" s="55">
        <v>6290</v>
      </c>
      <c r="I638" s="18"/>
      <c r="J638" s="18"/>
      <c r="K638" s="18"/>
      <c r="O638" s="18"/>
      <c r="P638" s="101"/>
    </row>
    <row r="639" spans="1:16" s="15" customFormat="1" ht="120.75" customHeight="1">
      <c r="A639" s="53" t="s">
        <v>1185</v>
      </c>
      <c r="B639" s="68" t="s">
        <v>535</v>
      </c>
      <c r="C639" s="53" t="s">
        <v>238</v>
      </c>
      <c r="D639" s="53"/>
      <c r="E639" s="53"/>
      <c r="F639" s="55">
        <f aca="true" t="shared" si="76" ref="F639:H642">SUM(F640)</f>
        <v>18092.5</v>
      </c>
      <c r="G639" s="55">
        <f t="shared" si="76"/>
        <v>5808.4</v>
      </c>
      <c r="H639" s="55">
        <f t="shared" si="76"/>
        <v>5808.4</v>
      </c>
      <c r="I639" s="18"/>
      <c r="J639" s="18"/>
      <c r="K639" s="18"/>
      <c r="O639" s="18"/>
      <c r="P639" s="101"/>
    </row>
    <row r="640" spans="1:16" s="15" customFormat="1" ht="21" customHeight="1">
      <c r="A640" s="53" t="s">
        <v>1186</v>
      </c>
      <c r="B640" s="68" t="s">
        <v>14</v>
      </c>
      <c r="C640" s="53" t="s">
        <v>238</v>
      </c>
      <c r="D640" s="53" t="s">
        <v>19</v>
      </c>
      <c r="E640" s="53" t="s">
        <v>423</v>
      </c>
      <c r="F640" s="55">
        <f t="shared" si="76"/>
        <v>18092.5</v>
      </c>
      <c r="G640" s="55">
        <f t="shared" si="76"/>
        <v>5808.4</v>
      </c>
      <c r="H640" s="55">
        <f t="shared" si="76"/>
        <v>5808.4</v>
      </c>
      <c r="I640" s="18"/>
      <c r="J640" s="18"/>
      <c r="K640" s="18"/>
      <c r="M640" s="41">
        <v>39</v>
      </c>
      <c r="O640" s="18"/>
      <c r="P640" s="101"/>
    </row>
    <row r="641" spans="1:16" s="15" customFormat="1" ht="21" customHeight="1">
      <c r="A641" s="53" t="s">
        <v>1187</v>
      </c>
      <c r="B641" s="68" t="s">
        <v>35</v>
      </c>
      <c r="C641" s="53" t="s">
        <v>238</v>
      </c>
      <c r="D641" s="53" t="s">
        <v>36</v>
      </c>
      <c r="E641" s="53" t="s">
        <v>34</v>
      </c>
      <c r="F641" s="55">
        <v>18092.5</v>
      </c>
      <c r="G641" s="55">
        <v>5808.4</v>
      </c>
      <c r="H641" s="55">
        <v>5808.4</v>
      </c>
      <c r="I641" s="18"/>
      <c r="J641" s="18"/>
      <c r="K641" s="18"/>
      <c r="L641" s="15">
        <v>39</v>
      </c>
      <c r="O641" s="18"/>
      <c r="P641" s="101"/>
    </row>
    <row r="642" spans="1:21" s="15" customFormat="1" ht="98.25" customHeight="1">
      <c r="A642" s="53" t="s">
        <v>1188</v>
      </c>
      <c r="B642" s="68" t="s">
        <v>570</v>
      </c>
      <c r="C642" s="53" t="s">
        <v>632</v>
      </c>
      <c r="D642" s="53"/>
      <c r="E642" s="53"/>
      <c r="F642" s="55">
        <f t="shared" si="76"/>
        <v>47847.2</v>
      </c>
      <c r="G642" s="55">
        <f t="shared" si="76"/>
        <v>59581.8</v>
      </c>
      <c r="H642" s="55">
        <f t="shared" si="76"/>
        <v>59581.8</v>
      </c>
      <c r="I642" s="18"/>
      <c r="J642" s="18"/>
      <c r="K642" s="18"/>
      <c r="O642" s="54"/>
      <c r="P642" s="104"/>
      <c r="Q642" s="40"/>
      <c r="R642" s="40"/>
      <c r="S642" s="49"/>
      <c r="T642" s="49"/>
      <c r="U642" s="49"/>
    </row>
    <row r="643" spans="1:21" s="15" customFormat="1" ht="15" customHeight="1">
      <c r="A643" s="53" t="s">
        <v>1189</v>
      </c>
      <c r="B643" s="68" t="s">
        <v>14</v>
      </c>
      <c r="C643" s="53" t="s">
        <v>632</v>
      </c>
      <c r="D643" s="53" t="s">
        <v>19</v>
      </c>
      <c r="E643" s="53" t="s">
        <v>423</v>
      </c>
      <c r="F643" s="55">
        <f>SUM(F644)</f>
        <v>47847.2</v>
      </c>
      <c r="G643" s="55">
        <f>SUM(G644)</f>
        <v>59581.8</v>
      </c>
      <c r="H643" s="55">
        <f>SUM(H644)</f>
        <v>59581.8</v>
      </c>
      <c r="I643" s="18"/>
      <c r="J643" s="18"/>
      <c r="K643" s="18"/>
      <c r="O643" s="54"/>
      <c r="P643" s="104"/>
      <c r="Q643" s="40"/>
      <c r="R643" s="40"/>
      <c r="S643" s="49"/>
      <c r="T643" s="49"/>
      <c r="U643" s="49"/>
    </row>
    <row r="644" spans="1:21" s="15" customFormat="1" ht="15" customHeight="1">
      <c r="A644" s="53" t="s">
        <v>1190</v>
      </c>
      <c r="B644" s="68" t="s">
        <v>35</v>
      </c>
      <c r="C644" s="53" t="s">
        <v>632</v>
      </c>
      <c r="D644" s="53" t="s">
        <v>36</v>
      </c>
      <c r="E644" s="53" t="s">
        <v>34</v>
      </c>
      <c r="F644" s="55">
        <f>47297.5+549.7</f>
        <v>47847.2</v>
      </c>
      <c r="G644" s="55">
        <v>59581.8</v>
      </c>
      <c r="H644" s="55">
        <v>59581.8</v>
      </c>
      <c r="I644" s="18"/>
      <c r="J644" s="18"/>
      <c r="K644" s="18"/>
      <c r="O644" s="54"/>
      <c r="P644" s="104"/>
      <c r="Q644" s="40"/>
      <c r="R644" s="40"/>
      <c r="S644" s="49"/>
      <c r="T644" s="49"/>
      <c r="U644" s="49"/>
    </row>
    <row r="645" spans="1:21" s="15" customFormat="1" ht="130.5" customHeight="1">
      <c r="A645" s="53" t="s">
        <v>1191</v>
      </c>
      <c r="B645" s="68" t="s">
        <v>1039</v>
      </c>
      <c r="C645" s="53" t="s">
        <v>1040</v>
      </c>
      <c r="D645" s="53"/>
      <c r="E645" s="53"/>
      <c r="F645" s="55">
        <f aca="true" t="shared" si="77" ref="F645:H646">SUM(F646)</f>
        <v>350</v>
      </c>
      <c r="G645" s="55">
        <f t="shared" si="77"/>
        <v>0</v>
      </c>
      <c r="H645" s="55">
        <f t="shared" si="77"/>
        <v>0</v>
      </c>
      <c r="I645" s="18"/>
      <c r="J645" s="18"/>
      <c r="K645" s="18"/>
      <c r="O645" s="54"/>
      <c r="P645" s="104"/>
      <c r="Q645" s="40"/>
      <c r="R645" s="40"/>
      <c r="S645" s="49"/>
      <c r="T645" s="49"/>
      <c r="U645" s="49"/>
    </row>
    <row r="646" spans="1:21" s="15" customFormat="1" ht="15" customHeight="1">
      <c r="A646" s="53" t="s">
        <v>1192</v>
      </c>
      <c r="B646" s="68" t="s">
        <v>14</v>
      </c>
      <c r="C646" s="53" t="s">
        <v>1040</v>
      </c>
      <c r="D646" s="53" t="s">
        <v>19</v>
      </c>
      <c r="E646" s="53" t="s">
        <v>423</v>
      </c>
      <c r="F646" s="55">
        <f t="shared" si="77"/>
        <v>350</v>
      </c>
      <c r="G646" s="55">
        <f t="shared" si="77"/>
        <v>0</v>
      </c>
      <c r="H646" s="55">
        <f t="shared" si="77"/>
        <v>0</v>
      </c>
      <c r="I646" s="18"/>
      <c r="J646" s="18"/>
      <c r="K646" s="18"/>
      <c r="O646" s="54"/>
      <c r="P646" s="104"/>
      <c r="Q646" s="40"/>
      <c r="R646" s="40"/>
      <c r="S646" s="49"/>
      <c r="T646" s="49"/>
      <c r="U646" s="49"/>
    </row>
    <row r="647" spans="1:21" s="15" customFormat="1" ht="15" customHeight="1">
      <c r="A647" s="53" t="s">
        <v>1193</v>
      </c>
      <c r="B647" s="68" t="s">
        <v>15</v>
      </c>
      <c r="C647" s="53" t="s">
        <v>1040</v>
      </c>
      <c r="D647" s="53" t="s">
        <v>18</v>
      </c>
      <c r="E647" s="53" t="s">
        <v>1038</v>
      </c>
      <c r="F647" s="55">
        <v>350</v>
      </c>
      <c r="G647" s="55">
        <v>0</v>
      </c>
      <c r="H647" s="55">
        <v>0</v>
      </c>
      <c r="I647" s="18"/>
      <c r="J647" s="18"/>
      <c r="K647" s="18"/>
      <c r="O647" s="54"/>
      <c r="P647" s="104"/>
      <c r="Q647" s="40"/>
      <c r="R647" s="40"/>
      <c r="S647" s="49"/>
      <c r="T647" s="49"/>
      <c r="U647" s="49"/>
    </row>
    <row r="648" spans="1:21" s="15" customFormat="1" ht="33.75" customHeight="1">
      <c r="A648" s="53" t="s">
        <v>1194</v>
      </c>
      <c r="B648" s="81" t="s">
        <v>42</v>
      </c>
      <c r="C648" s="65" t="s">
        <v>239</v>
      </c>
      <c r="D648" s="65"/>
      <c r="E648" s="65"/>
      <c r="F648" s="56">
        <f>SUM(F649)</f>
        <v>0</v>
      </c>
      <c r="G648" s="56">
        <f aca="true" t="shared" si="78" ref="F648:H650">SUM(G649)</f>
        <v>5</v>
      </c>
      <c r="H648" s="56">
        <f t="shared" si="78"/>
        <v>5</v>
      </c>
      <c r="I648" s="18"/>
      <c r="J648" s="18"/>
      <c r="K648" s="18">
        <v>-4</v>
      </c>
      <c r="O648" s="54"/>
      <c r="P648" s="104"/>
      <c r="Q648" s="50"/>
      <c r="R648" s="50"/>
      <c r="S648" s="51"/>
      <c r="T648" s="49"/>
      <c r="U648" s="49"/>
    </row>
    <row r="649" spans="1:21" s="15" customFormat="1" ht="69" customHeight="1">
      <c r="A649" s="53" t="s">
        <v>1195</v>
      </c>
      <c r="B649" s="52" t="s">
        <v>386</v>
      </c>
      <c r="C649" s="53" t="s">
        <v>633</v>
      </c>
      <c r="D649" s="53"/>
      <c r="E649" s="53"/>
      <c r="F649" s="55">
        <f t="shared" si="78"/>
        <v>0</v>
      </c>
      <c r="G649" s="55">
        <f t="shared" si="78"/>
        <v>5</v>
      </c>
      <c r="H649" s="55">
        <f t="shared" si="78"/>
        <v>5</v>
      </c>
      <c r="I649" s="18"/>
      <c r="J649" s="18"/>
      <c r="K649" s="18"/>
      <c r="O649" s="24"/>
      <c r="P649" s="109"/>
      <c r="Q649" s="24"/>
      <c r="R649" s="24"/>
      <c r="S649" s="24"/>
      <c r="T649" s="24"/>
      <c r="U649" s="24"/>
    </row>
    <row r="650" spans="1:21" s="15" customFormat="1" ht="17.25" customHeight="1">
      <c r="A650" s="53" t="s">
        <v>1196</v>
      </c>
      <c r="B650" s="68" t="s">
        <v>38</v>
      </c>
      <c r="C650" s="53" t="s">
        <v>633</v>
      </c>
      <c r="D650" s="53" t="s">
        <v>41</v>
      </c>
      <c r="E650" s="53" t="s">
        <v>424</v>
      </c>
      <c r="F650" s="55">
        <f t="shared" si="78"/>
        <v>0</v>
      </c>
      <c r="G650" s="55">
        <f t="shared" si="78"/>
        <v>5</v>
      </c>
      <c r="H650" s="55">
        <f t="shared" si="78"/>
        <v>5</v>
      </c>
      <c r="I650" s="18"/>
      <c r="J650" s="18"/>
      <c r="K650" s="18"/>
      <c r="O650" s="24"/>
      <c r="P650" s="109"/>
      <c r="Q650" s="24"/>
      <c r="R650" s="24"/>
      <c r="S650" s="24"/>
      <c r="T650" s="24"/>
      <c r="U650" s="24"/>
    </row>
    <row r="651" spans="1:21" s="15" customFormat="1" ht="17.25" customHeight="1">
      <c r="A651" s="53" t="s">
        <v>1197</v>
      </c>
      <c r="B651" s="68" t="s">
        <v>39</v>
      </c>
      <c r="C651" s="53" t="s">
        <v>633</v>
      </c>
      <c r="D651" s="53" t="s">
        <v>40</v>
      </c>
      <c r="E651" s="53" t="s">
        <v>37</v>
      </c>
      <c r="F651" s="55">
        <v>0</v>
      </c>
      <c r="G651" s="55">
        <v>5</v>
      </c>
      <c r="H651" s="55">
        <v>5</v>
      </c>
      <c r="I651" s="18"/>
      <c r="J651" s="18"/>
      <c r="K651" s="18"/>
      <c r="O651" s="24"/>
      <c r="P651" s="109"/>
      <c r="Q651" s="24"/>
      <c r="R651" s="24"/>
      <c r="S651" s="24"/>
      <c r="T651" s="24"/>
      <c r="U651" s="24"/>
    </row>
    <row r="652" spans="1:16" s="15" customFormat="1" ht="42" customHeight="1">
      <c r="A652" s="53" t="s">
        <v>1198</v>
      </c>
      <c r="B652" s="81" t="s">
        <v>534</v>
      </c>
      <c r="C652" s="65" t="s">
        <v>240</v>
      </c>
      <c r="D652" s="65"/>
      <c r="E652" s="65"/>
      <c r="F652" s="56">
        <f>F653+F660</f>
        <v>29837.600000000002</v>
      </c>
      <c r="G652" s="56">
        <f>G653+G660</f>
        <v>28071.600000000002</v>
      </c>
      <c r="H652" s="56">
        <f>H653+H660</f>
        <v>28071.600000000002</v>
      </c>
      <c r="I652" s="18"/>
      <c r="J652" s="18"/>
      <c r="K652" s="18"/>
      <c r="M652" s="41">
        <v>-1.5</v>
      </c>
      <c r="O652" s="18"/>
      <c r="P652" s="101"/>
    </row>
    <row r="653" spans="1:16" s="15" customFormat="1" ht="81.75" customHeight="1">
      <c r="A653" s="53" t="s">
        <v>1199</v>
      </c>
      <c r="B653" s="52" t="s">
        <v>637</v>
      </c>
      <c r="C653" s="53" t="s">
        <v>241</v>
      </c>
      <c r="D653" s="53"/>
      <c r="E653" s="53"/>
      <c r="F653" s="55">
        <f>SUM(F654+F656+F658)</f>
        <v>28537.600000000002</v>
      </c>
      <c r="G653" s="55">
        <f>SUM(G654+G656+G658)</f>
        <v>28071.600000000002</v>
      </c>
      <c r="H653" s="55">
        <f>SUM(H654+H656+H658)</f>
        <v>28071.600000000002</v>
      </c>
      <c r="I653" s="18"/>
      <c r="J653" s="18"/>
      <c r="K653" s="18"/>
      <c r="O653" s="18"/>
      <c r="P653" s="101"/>
    </row>
    <row r="654" spans="1:16" s="15" customFormat="1" ht="56.25" customHeight="1">
      <c r="A654" s="53" t="s">
        <v>1200</v>
      </c>
      <c r="B654" s="85" t="s">
        <v>46</v>
      </c>
      <c r="C654" s="53" t="s">
        <v>241</v>
      </c>
      <c r="D654" s="53" t="s">
        <v>44</v>
      </c>
      <c r="E654" s="53" t="s">
        <v>420</v>
      </c>
      <c r="F654" s="55">
        <f>SUM(F655)</f>
        <v>26656.4</v>
      </c>
      <c r="G654" s="55">
        <f>SUM(G655)</f>
        <v>26656.4</v>
      </c>
      <c r="H654" s="55">
        <f>SUM(H655)</f>
        <v>26656.4</v>
      </c>
      <c r="I654" s="18"/>
      <c r="J654" s="18"/>
      <c r="K654" s="18">
        <v>594.7</v>
      </c>
      <c r="L654" s="15">
        <v>292.9</v>
      </c>
      <c r="M654" s="41">
        <v>116</v>
      </c>
      <c r="O654" s="18"/>
      <c r="P654" s="101"/>
    </row>
    <row r="655" spans="1:16" s="15" customFormat="1" ht="21.75" customHeight="1">
      <c r="A655" s="53" t="s">
        <v>1201</v>
      </c>
      <c r="B655" s="68" t="s">
        <v>47</v>
      </c>
      <c r="C655" s="53" t="s">
        <v>241</v>
      </c>
      <c r="D655" s="53" t="s">
        <v>128</v>
      </c>
      <c r="E655" s="53" t="s">
        <v>129</v>
      </c>
      <c r="F655" s="48">
        <v>26656.4</v>
      </c>
      <c r="G655" s="48">
        <v>26656.4</v>
      </c>
      <c r="H655" s="48">
        <v>26656.4</v>
      </c>
      <c r="I655" s="18"/>
      <c r="J655" s="18"/>
      <c r="K655" s="18"/>
      <c r="O655" s="18"/>
      <c r="P655" s="101"/>
    </row>
    <row r="656" spans="1:16" s="15" customFormat="1" ht="28.5" customHeight="1">
      <c r="A656" s="53" t="s">
        <v>1202</v>
      </c>
      <c r="B656" s="52" t="s">
        <v>16</v>
      </c>
      <c r="C656" s="53" t="s">
        <v>241</v>
      </c>
      <c r="D656" s="53" t="s">
        <v>11</v>
      </c>
      <c r="E656" s="53" t="s">
        <v>420</v>
      </c>
      <c r="F656" s="55">
        <f>SUM(F657)</f>
        <v>1876.2</v>
      </c>
      <c r="G656" s="55">
        <f>SUM(G657)</f>
        <v>1413.2</v>
      </c>
      <c r="H656" s="55">
        <f>SUM(H657)</f>
        <v>1413.2</v>
      </c>
      <c r="I656" s="18"/>
      <c r="J656" s="18"/>
      <c r="K656" s="18"/>
      <c r="M656" s="41">
        <v>1.5</v>
      </c>
      <c r="O656" s="18"/>
      <c r="P656" s="101"/>
    </row>
    <row r="657" spans="1:16" s="15" customFormat="1" ht="28.5" customHeight="1">
      <c r="A657" s="53" t="s">
        <v>1203</v>
      </c>
      <c r="B657" s="52" t="s">
        <v>17</v>
      </c>
      <c r="C657" s="53" t="s">
        <v>241</v>
      </c>
      <c r="D657" s="53" t="s">
        <v>7</v>
      </c>
      <c r="E657" s="53" t="s">
        <v>129</v>
      </c>
      <c r="F657" s="48">
        <v>1876.2</v>
      </c>
      <c r="G657" s="48">
        <v>1413.2</v>
      </c>
      <c r="H657" s="48">
        <v>1413.2</v>
      </c>
      <c r="I657" s="18"/>
      <c r="J657" s="18"/>
      <c r="K657" s="18"/>
      <c r="L657" s="15">
        <v>292.9</v>
      </c>
      <c r="O657" s="18"/>
      <c r="P657" s="101"/>
    </row>
    <row r="658" spans="1:16" s="15" customFormat="1" ht="18.75" customHeight="1">
      <c r="A658" s="53" t="s">
        <v>1204</v>
      </c>
      <c r="B658" s="68" t="s">
        <v>119</v>
      </c>
      <c r="C658" s="53" t="s">
        <v>241</v>
      </c>
      <c r="D658" s="53" t="s">
        <v>122</v>
      </c>
      <c r="E658" s="53" t="s">
        <v>420</v>
      </c>
      <c r="F658" s="48">
        <f>F659</f>
        <v>5</v>
      </c>
      <c r="G658" s="48">
        <f>G659</f>
        <v>2</v>
      </c>
      <c r="H658" s="48">
        <f>H659</f>
        <v>2</v>
      </c>
      <c r="I658" s="18"/>
      <c r="J658" s="18"/>
      <c r="K658" s="18"/>
      <c r="O658" s="18"/>
      <c r="P658" s="101"/>
    </row>
    <row r="659" spans="1:16" s="15" customFormat="1" ht="18.75" customHeight="1">
      <c r="A659" s="53" t="s">
        <v>1205</v>
      </c>
      <c r="B659" s="68" t="s">
        <v>120</v>
      </c>
      <c r="C659" s="53" t="s">
        <v>241</v>
      </c>
      <c r="D659" s="53" t="s">
        <v>123</v>
      </c>
      <c r="E659" s="53" t="s">
        <v>129</v>
      </c>
      <c r="F659" s="48">
        <v>5</v>
      </c>
      <c r="G659" s="48">
        <v>2</v>
      </c>
      <c r="H659" s="48">
        <v>2</v>
      </c>
      <c r="I659" s="18"/>
      <c r="J659" s="18"/>
      <c r="K659" s="18">
        <v>217.1</v>
      </c>
      <c r="O659" s="18"/>
      <c r="P659" s="101"/>
    </row>
    <row r="660" spans="1:16" s="15" customFormat="1" ht="97.5" customHeight="1">
      <c r="A660" s="53" t="s">
        <v>1206</v>
      </c>
      <c r="B660" s="52" t="s">
        <v>1082</v>
      </c>
      <c r="C660" s="53" t="s">
        <v>1081</v>
      </c>
      <c r="D660" s="53"/>
      <c r="E660" s="53"/>
      <c r="F660" s="55">
        <f aca="true" t="shared" si="79" ref="F660:H661">SUM(F661)</f>
        <v>1300</v>
      </c>
      <c r="G660" s="55">
        <f t="shared" si="79"/>
        <v>0</v>
      </c>
      <c r="H660" s="55">
        <f t="shared" si="79"/>
        <v>0</v>
      </c>
      <c r="I660" s="18"/>
      <c r="J660" s="18"/>
      <c r="K660" s="18"/>
      <c r="O660" s="18"/>
      <c r="P660" s="101"/>
    </row>
    <row r="661" spans="1:16" s="15" customFormat="1" ht="57" customHeight="1">
      <c r="A661" s="53" t="s">
        <v>1207</v>
      </c>
      <c r="B661" s="68" t="s">
        <v>46</v>
      </c>
      <c r="C661" s="53" t="s">
        <v>1081</v>
      </c>
      <c r="D661" s="53" t="s">
        <v>44</v>
      </c>
      <c r="E661" s="53" t="s">
        <v>420</v>
      </c>
      <c r="F661" s="55">
        <f t="shared" si="79"/>
        <v>1300</v>
      </c>
      <c r="G661" s="55">
        <f t="shared" si="79"/>
        <v>0</v>
      </c>
      <c r="H661" s="55">
        <f t="shared" si="79"/>
        <v>0</v>
      </c>
      <c r="I661" s="18"/>
      <c r="J661" s="18"/>
      <c r="K661" s="18"/>
      <c r="O661" s="18"/>
      <c r="P661" s="101"/>
    </row>
    <row r="662" spans="1:16" s="15" customFormat="1" ht="28.5" customHeight="1">
      <c r="A662" s="53" t="s">
        <v>1208</v>
      </c>
      <c r="B662" s="68" t="s">
        <v>47</v>
      </c>
      <c r="C662" s="53" t="s">
        <v>1081</v>
      </c>
      <c r="D662" s="53" t="s">
        <v>128</v>
      </c>
      <c r="E662" s="53" t="s">
        <v>129</v>
      </c>
      <c r="F662" s="48">
        <v>1300</v>
      </c>
      <c r="G662" s="48">
        <v>0</v>
      </c>
      <c r="H662" s="48">
        <v>0</v>
      </c>
      <c r="I662" s="18"/>
      <c r="J662" s="18"/>
      <c r="K662" s="18"/>
      <c r="O662" s="18"/>
      <c r="P662" s="106">
        <v>1300</v>
      </c>
    </row>
    <row r="663" spans="1:16" s="15" customFormat="1" ht="30" customHeight="1">
      <c r="A663" s="53" t="s">
        <v>1209</v>
      </c>
      <c r="B663" s="81" t="s">
        <v>308</v>
      </c>
      <c r="C663" s="65" t="s">
        <v>242</v>
      </c>
      <c r="D663" s="65"/>
      <c r="E663" s="65"/>
      <c r="F663" s="56">
        <f>SUM(F664+F671)</f>
        <v>11382.4</v>
      </c>
      <c r="G663" s="56">
        <f>SUM(G664)</f>
        <v>10557.5</v>
      </c>
      <c r="H663" s="56">
        <f>SUM(H664)</f>
        <v>10557.5</v>
      </c>
      <c r="I663" s="18"/>
      <c r="J663" s="18"/>
      <c r="K663" s="18"/>
      <c r="O663" s="18"/>
      <c r="P663" s="101"/>
    </row>
    <row r="664" spans="1:16" s="15" customFormat="1" ht="68.25" customHeight="1">
      <c r="A664" s="53" t="s">
        <v>1210</v>
      </c>
      <c r="B664" s="52" t="s">
        <v>131</v>
      </c>
      <c r="C664" s="53" t="s">
        <v>243</v>
      </c>
      <c r="D664" s="53"/>
      <c r="E664" s="53"/>
      <c r="F664" s="55">
        <f>F667+F669+F665</f>
        <v>10557.5</v>
      </c>
      <c r="G664" s="55">
        <f>G667+G669+G665</f>
        <v>10557.5</v>
      </c>
      <c r="H664" s="55">
        <f>H667+H669+H665</f>
        <v>10557.5</v>
      </c>
      <c r="I664" s="18"/>
      <c r="J664" s="18"/>
      <c r="K664" s="18"/>
      <c r="O664" s="18"/>
      <c r="P664" s="101"/>
    </row>
    <row r="665" spans="1:16" s="15" customFormat="1" ht="54" customHeight="1">
      <c r="A665" s="53" t="s">
        <v>1211</v>
      </c>
      <c r="B665" s="68" t="s">
        <v>46</v>
      </c>
      <c r="C665" s="53" t="s">
        <v>243</v>
      </c>
      <c r="D665" s="53" t="s">
        <v>44</v>
      </c>
      <c r="E665" s="53" t="s">
        <v>420</v>
      </c>
      <c r="F665" s="55">
        <f>SUM(F666)</f>
        <v>10101.5</v>
      </c>
      <c r="G665" s="55">
        <f>SUM(G666)</f>
        <v>10101.5</v>
      </c>
      <c r="H665" s="55">
        <f>SUM(H666)</f>
        <v>10101.5</v>
      </c>
      <c r="I665" s="18"/>
      <c r="J665" s="18"/>
      <c r="K665" s="18"/>
      <c r="M665" s="41">
        <v>60</v>
      </c>
      <c r="O665" s="18"/>
      <c r="P665" s="101"/>
    </row>
    <row r="666" spans="1:16" s="15" customFormat="1" ht="29.25" customHeight="1">
      <c r="A666" s="53" t="s">
        <v>1212</v>
      </c>
      <c r="B666" s="68" t="s">
        <v>130</v>
      </c>
      <c r="C666" s="53" t="s">
        <v>243</v>
      </c>
      <c r="D666" s="53" t="s">
        <v>45</v>
      </c>
      <c r="E666" s="53" t="s">
        <v>43</v>
      </c>
      <c r="F666" s="55">
        <v>10101.5</v>
      </c>
      <c r="G666" s="55">
        <v>10101.5</v>
      </c>
      <c r="H666" s="55">
        <v>10101.5</v>
      </c>
      <c r="I666" s="18"/>
      <c r="J666" s="18"/>
      <c r="K666" s="18"/>
      <c r="O666" s="18"/>
      <c r="P666" s="101"/>
    </row>
    <row r="667" spans="1:16" s="15" customFormat="1" ht="29.25" customHeight="1">
      <c r="A667" s="53" t="s">
        <v>1213</v>
      </c>
      <c r="B667" s="52" t="s">
        <v>16</v>
      </c>
      <c r="C667" s="53" t="s">
        <v>243</v>
      </c>
      <c r="D667" s="53" t="s">
        <v>11</v>
      </c>
      <c r="E667" s="53" t="s">
        <v>420</v>
      </c>
      <c r="F667" s="55">
        <f>SUM(F668)</f>
        <v>454</v>
      </c>
      <c r="G667" s="55">
        <f>SUM(G668)</f>
        <v>454</v>
      </c>
      <c r="H667" s="55">
        <f>SUM(H668)</f>
        <v>454</v>
      </c>
      <c r="I667" s="18"/>
      <c r="J667" s="18"/>
      <c r="K667" s="18"/>
      <c r="O667" s="18"/>
      <c r="P667" s="101"/>
    </row>
    <row r="668" spans="1:16" s="15" customFormat="1" ht="27.75" customHeight="1">
      <c r="A668" s="53" t="s">
        <v>1214</v>
      </c>
      <c r="B668" s="52" t="s">
        <v>17</v>
      </c>
      <c r="C668" s="53" t="s">
        <v>243</v>
      </c>
      <c r="D668" s="53" t="s">
        <v>7</v>
      </c>
      <c r="E668" s="53" t="s">
        <v>43</v>
      </c>
      <c r="F668" s="55">
        <v>454</v>
      </c>
      <c r="G668" s="55">
        <v>454</v>
      </c>
      <c r="H668" s="55">
        <v>454</v>
      </c>
      <c r="I668" s="18"/>
      <c r="J668" s="18"/>
      <c r="K668" s="18"/>
      <c r="O668" s="18"/>
      <c r="P668" s="101"/>
    </row>
    <row r="669" spans="1:16" s="15" customFormat="1" ht="15" customHeight="1">
      <c r="A669" s="53" t="s">
        <v>1215</v>
      </c>
      <c r="B669" s="68" t="s">
        <v>119</v>
      </c>
      <c r="C669" s="53" t="s">
        <v>243</v>
      </c>
      <c r="D669" s="53" t="s">
        <v>122</v>
      </c>
      <c r="E669" s="53" t="s">
        <v>420</v>
      </c>
      <c r="F669" s="55">
        <f>SUM(F670)</f>
        <v>2</v>
      </c>
      <c r="G669" s="55">
        <f>SUM(G670)</f>
        <v>2</v>
      </c>
      <c r="H669" s="55">
        <f>SUM(H670)</f>
        <v>2</v>
      </c>
      <c r="I669" s="18"/>
      <c r="J669" s="18"/>
      <c r="K669" s="18"/>
      <c r="O669" s="18"/>
      <c r="P669" s="101"/>
    </row>
    <row r="670" spans="1:16" s="15" customFormat="1" ht="15.75" customHeight="1">
      <c r="A670" s="53" t="s">
        <v>1216</v>
      </c>
      <c r="B670" s="68" t="s">
        <v>120</v>
      </c>
      <c r="C670" s="53" t="s">
        <v>243</v>
      </c>
      <c r="D670" s="53" t="s">
        <v>123</v>
      </c>
      <c r="E670" s="53" t="s">
        <v>43</v>
      </c>
      <c r="F670" s="55">
        <v>2</v>
      </c>
      <c r="G670" s="55">
        <v>2</v>
      </c>
      <c r="H670" s="55">
        <v>2</v>
      </c>
      <c r="I670" s="18"/>
      <c r="J670" s="18"/>
      <c r="K670" s="18"/>
      <c r="O670" s="18"/>
      <c r="P670" s="101"/>
    </row>
    <row r="671" spans="1:16" s="15" customFormat="1" ht="92.25" customHeight="1">
      <c r="A671" s="53" t="s">
        <v>1217</v>
      </c>
      <c r="B671" s="52" t="s">
        <v>1064</v>
      </c>
      <c r="C671" s="53" t="s">
        <v>1063</v>
      </c>
      <c r="D671" s="53"/>
      <c r="E671" s="53"/>
      <c r="F671" s="55">
        <f aca="true" t="shared" si="80" ref="F671:H672">SUM(F672)</f>
        <v>824.9</v>
      </c>
      <c r="G671" s="55">
        <f t="shared" si="80"/>
        <v>0</v>
      </c>
      <c r="H671" s="55">
        <f t="shared" si="80"/>
        <v>0</v>
      </c>
      <c r="I671" s="18"/>
      <c r="J671" s="18"/>
      <c r="K671" s="18"/>
      <c r="O671" s="18"/>
      <c r="P671" s="101"/>
    </row>
    <row r="672" spans="1:16" s="15" customFormat="1" ht="57.75" customHeight="1">
      <c r="A672" s="53" t="s">
        <v>1218</v>
      </c>
      <c r="B672" s="68" t="s">
        <v>46</v>
      </c>
      <c r="C672" s="53" t="s">
        <v>1063</v>
      </c>
      <c r="D672" s="53" t="s">
        <v>44</v>
      </c>
      <c r="E672" s="53" t="s">
        <v>420</v>
      </c>
      <c r="F672" s="55">
        <f t="shared" si="80"/>
        <v>824.9</v>
      </c>
      <c r="G672" s="55">
        <f t="shared" si="80"/>
        <v>0</v>
      </c>
      <c r="H672" s="55">
        <f t="shared" si="80"/>
        <v>0</v>
      </c>
      <c r="I672" s="18"/>
      <c r="J672" s="18"/>
      <c r="K672" s="18"/>
      <c r="O672" s="18"/>
      <c r="P672" s="101"/>
    </row>
    <row r="673" spans="1:16" s="15" customFormat="1" ht="33.75" customHeight="1">
      <c r="A673" s="53" t="s">
        <v>1219</v>
      </c>
      <c r="B673" s="68" t="s">
        <v>130</v>
      </c>
      <c r="C673" s="53" t="s">
        <v>1063</v>
      </c>
      <c r="D673" s="53" t="s">
        <v>45</v>
      </c>
      <c r="E673" s="53" t="s">
        <v>43</v>
      </c>
      <c r="F673" s="55">
        <v>824.9</v>
      </c>
      <c r="G673" s="55">
        <v>0</v>
      </c>
      <c r="H673" s="55">
        <v>0</v>
      </c>
      <c r="I673" s="18"/>
      <c r="J673" s="18"/>
      <c r="K673" s="18"/>
      <c r="O673" s="18"/>
      <c r="P673" s="106">
        <v>824.9</v>
      </c>
    </row>
    <row r="674" spans="1:16" s="15" customFormat="1" ht="33.75" customHeight="1">
      <c r="A674" s="53" t="s">
        <v>1220</v>
      </c>
      <c r="B674" s="84" t="s">
        <v>1153</v>
      </c>
      <c r="C674" s="65" t="s">
        <v>1152</v>
      </c>
      <c r="D674" s="65"/>
      <c r="E674" s="65"/>
      <c r="F674" s="55">
        <f aca="true" t="shared" si="81" ref="F674:H676">SUM(F675)</f>
        <v>3878.9</v>
      </c>
      <c r="G674" s="55">
        <f t="shared" si="81"/>
        <v>0</v>
      </c>
      <c r="H674" s="55">
        <f t="shared" si="81"/>
        <v>0</v>
      </c>
      <c r="I674" s="18"/>
      <c r="J674" s="18"/>
      <c r="K674" s="18"/>
      <c r="O674" s="18"/>
      <c r="P674" s="101"/>
    </row>
    <row r="675" spans="1:16" s="15" customFormat="1" ht="83.25" customHeight="1">
      <c r="A675" s="53" t="s">
        <v>1221</v>
      </c>
      <c r="B675" s="68" t="s">
        <v>1072</v>
      </c>
      <c r="C675" s="53" t="s">
        <v>1071</v>
      </c>
      <c r="D675" s="53"/>
      <c r="E675" s="53"/>
      <c r="F675" s="55">
        <f t="shared" si="81"/>
        <v>3878.9</v>
      </c>
      <c r="G675" s="55">
        <f t="shared" si="81"/>
        <v>0</v>
      </c>
      <c r="H675" s="55">
        <f t="shared" si="81"/>
        <v>0</v>
      </c>
      <c r="I675" s="18"/>
      <c r="J675" s="18"/>
      <c r="K675" s="18"/>
      <c r="O675" s="18"/>
      <c r="P675" s="101"/>
    </row>
    <row r="676" spans="1:16" s="15" customFormat="1" ht="33.75" customHeight="1">
      <c r="A676" s="53" t="s">
        <v>1222</v>
      </c>
      <c r="B676" s="68" t="s">
        <v>14</v>
      </c>
      <c r="C676" s="53" t="s">
        <v>1071</v>
      </c>
      <c r="D676" s="53" t="s">
        <v>19</v>
      </c>
      <c r="E676" s="53" t="s">
        <v>423</v>
      </c>
      <c r="F676" s="55">
        <f t="shared" si="81"/>
        <v>3878.9</v>
      </c>
      <c r="G676" s="55">
        <f t="shared" si="81"/>
        <v>0</v>
      </c>
      <c r="H676" s="55">
        <f t="shared" si="81"/>
        <v>0</v>
      </c>
      <c r="I676" s="18"/>
      <c r="J676" s="18"/>
      <c r="K676" s="18"/>
      <c r="O676" s="18"/>
      <c r="P676" s="101"/>
    </row>
    <row r="677" spans="1:16" s="15" customFormat="1" ht="33.75" customHeight="1">
      <c r="A677" s="53" t="s">
        <v>1223</v>
      </c>
      <c r="B677" s="68" t="s">
        <v>15</v>
      </c>
      <c r="C677" s="53" t="s">
        <v>1071</v>
      </c>
      <c r="D677" s="53" t="s">
        <v>18</v>
      </c>
      <c r="E677" s="53" t="s">
        <v>1038</v>
      </c>
      <c r="F677" s="55">
        <v>3878.9</v>
      </c>
      <c r="G677" s="55">
        <v>0</v>
      </c>
      <c r="H677" s="55">
        <v>0</v>
      </c>
      <c r="I677" s="18"/>
      <c r="J677" s="18"/>
      <c r="K677" s="18"/>
      <c r="O677" s="18"/>
      <c r="P677" s="106">
        <v>3878.9</v>
      </c>
    </row>
    <row r="678" spans="1:16" s="15" customFormat="1" ht="44.25" customHeight="1">
      <c r="A678" s="53" t="s">
        <v>1224</v>
      </c>
      <c r="B678" s="83" t="s">
        <v>309</v>
      </c>
      <c r="C678" s="63" t="s">
        <v>244</v>
      </c>
      <c r="D678" s="63"/>
      <c r="E678" s="63"/>
      <c r="F678" s="66">
        <f>F679+F683+F687+F696</f>
        <v>4204</v>
      </c>
      <c r="G678" s="66">
        <f>G679+G683+G687+G696</f>
        <v>3724</v>
      </c>
      <c r="H678" s="66">
        <f>H679+H683+H687+H696</f>
        <v>3724</v>
      </c>
      <c r="I678" s="18"/>
      <c r="J678" s="18"/>
      <c r="K678" s="18"/>
      <c r="O678" s="18"/>
      <c r="P678" s="101"/>
    </row>
    <row r="679" spans="1:16" s="15" customFormat="1" ht="25.5">
      <c r="A679" s="53" t="s">
        <v>1225</v>
      </c>
      <c r="B679" s="81" t="s">
        <v>112</v>
      </c>
      <c r="C679" s="65" t="s">
        <v>245</v>
      </c>
      <c r="D679" s="65"/>
      <c r="E679" s="65"/>
      <c r="F679" s="57">
        <f>F680</f>
        <v>200</v>
      </c>
      <c r="G679" s="57">
        <f aca="true" t="shared" si="82" ref="F679:H680">G680</f>
        <v>200</v>
      </c>
      <c r="H679" s="57">
        <f t="shared" si="82"/>
        <v>200</v>
      </c>
      <c r="I679" s="18"/>
      <c r="J679" s="18"/>
      <c r="K679" s="18">
        <v>-57.3</v>
      </c>
      <c r="M679" s="41">
        <v>-85</v>
      </c>
      <c r="O679" s="18"/>
      <c r="P679" s="101"/>
    </row>
    <row r="680" spans="1:16" s="15" customFormat="1" ht="83.25" customHeight="1">
      <c r="A680" s="53" t="s">
        <v>1226</v>
      </c>
      <c r="B680" s="52" t="s">
        <v>310</v>
      </c>
      <c r="C680" s="53" t="s">
        <v>634</v>
      </c>
      <c r="D680" s="53"/>
      <c r="E680" s="53"/>
      <c r="F680" s="48">
        <f t="shared" si="82"/>
        <v>200</v>
      </c>
      <c r="G680" s="48">
        <f t="shared" si="82"/>
        <v>200</v>
      </c>
      <c r="H680" s="48">
        <f t="shared" si="82"/>
        <v>200</v>
      </c>
      <c r="I680" s="18"/>
      <c r="J680" s="18"/>
      <c r="K680" s="18"/>
      <c r="O680" s="18"/>
      <c r="P680" s="101"/>
    </row>
    <row r="681" spans="1:16" s="15" customFormat="1" ht="35.25" customHeight="1">
      <c r="A681" s="53" t="s">
        <v>1227</v>
      </c>
      <c r="B681" s="52" t="s">
        <v>16</v>
      </c>
      <c r="C681" s="53" t="s">
        <v>634</v>
      </c>
      <c r="D681" s="53" t="s">
        <v>11</v>
      </c>
      <c r="E681" s="53" t="s">
        <v>420</v>
      </c>
      <c r="F681" s="48">
        <f>F682</f>
        <v>200</v>
      </c>
      <c r="G681" s="48">
        <f>G682</f>
        <v>200</v>
      </c>
      <c r="H681" s="48">
        <f>H682</f>
        <v>200</v>
      </c>
      <c r="I681" s="18"/>
      <c r="J681" s="18"/>
      <c r="K681" s="18"/>
      <c r="O681" s="18"/>
      <c r="P681" s="101"/>
    </row>
    <row r="682" spans="1:16" s="15" customFormat="1" ht="29.25" customHeight="1">
      <c r="A682" s="53" t="s">
        <v>1228</v>
      </c>
      <c r="B682" s="52" t="s">
        <v>17</v>
      </c>
      <c r="C682" s="53" t="s">
        <v>634</v>
      </c>
      <c r="D682" s="53" t="s">
        <v>7</v>
      </c>
      <c r="E682" s="53" t="s">
        <v>129</v>
      </c>
      <c r="F682" s="48">
        <v>200</v>
      </c>
      <c r="G682" s="48">
        <v>200</v>
      </c>
      <c r="H682" s="48">
        <v>200</v>
      </c>
      <c r="I682" s="18"/>
      <c r="J682" s="18"/>
      <c r="K682" s="18"/>
      <c r="O682" s="18"/>
      <c r="P682" s="101"/>
    </row>
    <row r="683" spans="1:16" s="15" customFormat="1" ht="31.5" customHeight="1">
      <c r="A683" s="53" t="s">
        <v>1229</v>
      </c>
      <c r="B683" s="81" t="s">
        <v>174</v>
      </c>
      <c r="C683" s="65" t="s">
        <v>393</v>
      </c>
      <c r="D683" s="65"/>
      <c r="E683" s="65"/>
      <c r="F683" s="57">
        <f>F684</f>
        <v>100</v>
      </c>
      <c r="G683" s="57">
        <f>G684</f>
        <v>100</v>
      </c>
      <c r="H683" s="57">
        <f>H684</f>
        <v>100</v>
      </c>
      <c r="I683" s="29"/>
      <c r="J683" s="29"/>
      <c r="K683" s="29">
        <v>-14.5</v>
      </c>
      <c r="M683" s="41">
        <v>85</v>
      </c>
      <c r="O683" s="18"/>
      <c r="P683" s="101"/>
    </row>
    <row r="684" spans="1:16" s="15" customFormat="1" ht="93" customHeight="1">
      <c r="A684" s="53" t="s">
        <v>1230</v>
      </c>
      <c r="B684" s="52" t="s">
        <v>392</v>
      </c>
      <c r="C684" s="53" t="s">
        <v>635</v>
      </c>
      <c r="D684" s="53"/>
      <c r="E684" s="53"/>
      <c r="F684" s="48">
        <f aca="true" t="shared" si="83" ref="F684:H685">F685</f>
        <v>100</v>
      </c>
      <c r="G684" s="48">
        <f t="shared" si="83"/>
        <v>100</v>
      </c>
      <c r="H684" s="48">
        <f t="shared" si="83"/>
        <v>100</v>
      </c>
      <c r="I684" s="18"/>
      <c r="J684" s="18"/>
      <c r="K684" s="18"/>
      <c r="O684" s="18"/>
      <c r="P684" s="101"/>
    </row>
    <row r="685" spans="1:16" s="15" customFormat="1" ht="33.75" customHeight="1">
      <c r="A685" s="53" t="s">
        <v>1231</v>
      </c>
      <c r="B685" s="52" t="s">
        <v>16</v>
      </c>
      <c r="C685" s="53" t="s">
        <v>635</v>
      </c>
      <c r="D685" s="53" t="s">
        <v>11</v>
      </c>
      <c r="E685" s="53" t="s">
        <v>422</v>
      </c>
      <c r="F685" s="48">
        <f t="shared" si="83"/>
        <v>100</v>
      </c>
      <c r="G685" s="48">
        <f t="shared" si="83"/>
        <v>100</v>
      </c>
      <c r="H685" s="48">
        <f t="shared" si="83"/>
        <v>100</v>
      </c>
      <c r="I685" s="18"/>
      <c r="J685" s="18"/>
      <c r="K685" s="18"/>
      <c r="O685" s="18"/>
      <c r="P685" s="101"/>
    </row>
    <row r="686" spans="1:16" s="15" customFormat="1" ht="34.5" customHeight="1">
      <c r="A686" s="53" t="s">
        <v>1232</v>
      </c>
      <c r="B686" s="52" t="s">
        <v>17</v>
      </c>
      <c r="C686" s="53" t="s">
        <v>635</v>
      </c>
      <c r="D686" s="53" t="s">
        <v>7</v>
      </c>
      <c r="E686" s="53" t="s">
        <v>160</v>
      </c>
      <c r="F686" s="48">
        <v>100</v>
      </c>
      <c r="G686" s="48">
        <v>100</v>
      </c>
      <c r="H686" s="48">
        <v>100</v>
      </c>
      <c r="I686" s="18"/>
      <c r="J686" s="18"/>
      <c r="K686" s="18"/>
      <c r="O686" s="18"/>
      <c r="P686" s="101"/>
    </row>
    <row r="687" spans="1:16" s="15" customFormat="1" ht="30.75" customHeight="1">
      <c r="A687" s="53" t="s">
        <v>1233</v>
      </c>
      <c r="B687" s="81" t="s">
        <v>308</v>
      </c>
      <c r="C687" s="65" t="s">
        <v>246</v>
      </c>
      <c r="D687" s="65"/>
      <c r="E687" s="65"/>
      <c r="F687" s="57">
        <f>F691+F688</f>
        <v>3424</v>
      </c>
      <c r="G687" s="57">
        <f>G691+G688</f>
        <v>3424</v>
      </c>
      <c r="H687" s="57">
        <f>H691+H688</f>
        <v>3424</v>
      </c>
      <c r="I687" s="18"/>
      <c r="J687" s="18"/>
      <c r="K687" s="18">
        <v>-15.7</v>
      </c>
      <c r="O687" s="18"/>
      <c r="P687" s="101"/>
    </row>
    <row r="688" spans="1:16" s="15" customFormat="1" ht="30" customHeight="1">
      <c r="A688" s="53" t="s">
        <v>1234</v>
      </c>
      <c r="B688" s="52" t="s">
        <v>247</v>
      </c>
      <c r="C688" s="53" t="s">
        <v>636</v>
      </c>
      <c r="D688" s="53"/>
      <c r="E688" s="53"/>
      <c r="F688" s="48">
        <f aca="true" t="shared" si="84" ref="F688:H689">SUM(F689)</f>
        <v>11.6</v>
      </c>
      <c r="G688" s="48">
        <f t="shared" si="84"/>
        <v>11.6</v>
      </c>
      <c r="H688" s="48">
        <f t="shared" si="84"/>
        <v>11.6</v>
      </c>
      <c r="I688" s="18"/>
      <c r="J688" s="18"/>
      <c r="K688" s="18"/>
      <c r="O688" s="18"/>
      <c r="P688" s="101"/>
    </row>
    <row r="689" spans="1:16" s="15" customFormat="1" ht="36.75" customHeight="1">
      <c r="A689" s="53" t="s">
        <v>1235</v>
      </c>
      <c r="B689" s="52" t="s">
        <v>16</v>
      </c>
      <c r="C689" s="53" t="s">
        <v>636</v>
      </c>
      <c r="D689" s="53" t="s">
        <v>11</v>
      </c>
      <c r="E689" s="53" t="s">
        <v>420</v>
      </c>
      <c r="F689" s="48">
        <f t="shared" si="84"/>
        <v>11.6</v>
      </c>
      <c r="G689" s="48">
        <f t="shared" si="84"/>
        <v>11.6</v>
      </c>
      <c r="H689" s="48">
        <f t="shared" si="84"/>
        <v>11.6</v>
      </c>
      <c r="I689" s="18"/>
      <c r="J689" s="18"/>
      <c r="K689" s="18"/>
      <c r="O689" s="18"/>
      <c r="P689" s="101"/>
    </row>
    <row r="690" spans="1:16" s="15" customFormat="1" ht="34.5" customHeight="1">
      <c r="A690" s="53" t="s">
        <v>1236</v>
      </c>
      <c r="B690" s="52" t="s">
        <v>17</v>
      </c>
      <c r="C690" s="53" t="s">
        <v>636</v>
      </c>
      <c r="D690" s="53" t="s">
        <v>7</v>
      </c>
      <c r="E690" s="53" t="s">
        <v>129</v>
      </c>
      <c r="F690" s="48">
        <v>11.6</v>
      </c>
      <c r="G690" s="48">
        <v>11.6</v>
      </c>
      <c r="H690" s="48">
        <v>11.6</v>
      </c>
      <c r="I690" s="18"/>
      <c r="J690" s="18"/>
      <c r="K690" s="18"/>
      <c r="O690" s="18"/>
      <c r="P690" s="101"/>
    </row>
    <row r="691" spans="1:16" s="15" customFormat="1" ht="77.25" customHeight="1">
      <c r="A691" s="53" t="s">
        <v>1237</v>
      </c>
      <c r="B691" s="52" t="s">
        <v>311</v>
      </c>
      <c r="C691" s="53" t="s">
        <v>389</v>
      </c>
      <c r="D691" s="53"/>
      <c r="E691" s="53"/>
      <c r="F691" s="48">
        <f>F692+F694</f>
        <v>3412.4</v>
      </c>
      <c r="G691" s="48">
        <f>G692+G694</f>
        <v>3412.4</v>
      </c>
      <c r="H691" s="48">
        <f>H692+H694</f>
        <v>3412.4</v>
      </c>
      <c r="I691" s="18"/>
      <c r="J691" s="18"/>
      <c r="K691" s="18"/>
      <c r="O691" s="18"/>
      <c r="P691" s="101"/>
    </row>
    <row r="692" spans="1:16" s="15" customFormat="1" ht="57.75" customHeight="1">
      <c r="A692" s="53" t="s">
        <v>1238</v>
      </c>
      <c r="B692" s="68" t="s">
        <v>46</v>
      </c>
      <c r="C692" s="53" t="s">
        <v>389</v>
      </c>
      <c r="D692" s="53" t="s">
        <v>44</v>
      </c>
      <c r="E692" s="53" t="s">
        <v>420</v>
      </c>
      <c r="F692" s="48">
        <f>F693</f>
        <v>3407.4</v>
      </c>
      <c r="G692" s="48">
        <f>G693</f>
        <v>3407.4</v>
      </c>
      <c r="H692" s="48">
        <f>H693</f>
        <v>3407.4</v>
      </c>
      <c r="I692" s="18"/>
      <c r="J692" s="18"/>
      <c r="K692" s="18"/>
      <c r="M692" s="41">
        <v>20</v>
      </c>
      <c r="O692" s="18"/>
      <c r="P692" s="101"/>
    </row>
    <row r="693" spans="1:16" s="15" customFormat="1" ht="31.5" customHeight="1">
      <c r="A693" s="53" t="s">
        <v>1239</v>
      </c>
      <c r="B693" s="68" t="s">
        <v>130</v>
      </c>
      <c r="C693" s="53" t="s">
        <v>389</v>
      </c>
      <c r="D693" s="53" t="s">
        <v>45</v>
      </c>
      <c r="E693" s="53" t="s">
        <v>135</v>
      </c>
      <c r="F693" s="48">
        <v>3407.4</v>
      </c>
      <c r="G693" s="48">
        <v>3407.4</v>
      </c>
      <c r="H693" s="48">
        <v>3407.4</v>
      </c>
      <c r="I693" s="18"/>
      <c r="J693" s="18"/>
      <c r="K693" s="18"/>
      <c r="O693" s="18"/>
      <c r="P693" s="101"/>
    </row>
    <row r="694" spans="1:16" s="15" customFormat="1" ht="34.5" customHeight="1">
      <c r="A694" s="53" t="s">
        <v>1240</v>
      </c>
      <c r="B694" s="52" t="s">
        <v>16</v>
      </c>
      <c r="C694" s="53" t="s">
        <v>389</v>
      </c>
      <c r="D694" s="53" t="s">
        <v>11</v>
      </c>
      <c r="E694" s="53" t="s">
        <v>420</v>
      </c>
      <c r="F694" s="48">
        <f>F695</f>
        <v>5</v>
      </c>
      <c r="G694" s="48">
        <f>G695</f>
        <v>5</v>
      </c>
      <c r="H694" s="48">
        <f>H695</f>
        <v>5</v>
      </c>
      <c r="I694" s="18"/>
      <c r="J694" s="18"/>
      <c r="K694" s="18"/>
      <c r="O694" s="18"/>
      <c r="P694" s="101"/>
    </row>
    <row r="695" spans="1:16" s="15" customFormat="1" ht="35.25" customHeight="1">
      <c r="A695" s="53" t="s">
        <v>1241</v>
      </c>
      <c r="B695" s="52" t="s">
        <v>17</v>
      </c>
      <c r="C695" s="53" t="s">
        <v>389</v>
      </c>
      <c r="D695" s="53" t="s">
        <v>7</v>
      </c>
      <c r="E695" s="53" t="s">
        <v>135</v>
      </c>
      <c r="F695" s="48">
        <v>5</v>
      </c>
      <c r="G695" s="48">
        <v>5</v>
      </c>
      <c r="H695" s="48">
        <v>5</v>
      </c>
      <c r="I695" s="18"/>
      <c r="J695" s="18"/>
      <c r="K695" s="18"/>
      <c r="O695" s="18"/>
      <c r="P695" s="101"/>
    </row>
    <row r="696" spans="1:16" s="15" customFormat="1" ht="58.5" customHeight="1">
      <c r="A696" s="53" t="s">
        <v>1242</v>
      </c>
      <c r="B696" s="81" t="s">
        <v>845</v>
      </c>
      <c r="C696" s="65" t="s">
        <v>564</v>
      </c>
      <c r="D696" s="65"/>
      <c r="E696" s="65"/>
      <c r="F696" s="57">
        <f>F697+F700</f>
        <v>480</v>
      </c>
      <c r="G696" s="57">
        <f>G697</f>
        <v>0</v>
      </c>
      <c r="H696" s="57">
        <f>H697</f>
        <v>0</v>
      </c>
      <c r="I696" s="18"/>
      <c r="J696" s="18"/>
      <c r="K696" s="18"/>
      <c r="O696" s="18"/>
      <c r="P696" s="101"/>
    </row>
    <row r="697" spans="1:16" s="15" customFormat="1" ht="138.75" customHeight="1">
      <c r="A697" s="53" t="s">
        <v>1243</v>
      </c>
      <c r="B697" s="52" t="s">
        <v>563</v>
      </c>
      <c r="C697" s="53" t="s">
        <v>565</v>
      </c>
      <c r="D697" s="53"/>
      <c r="E697" s="53"/>
      <c r="F697" s="48">
        <f aca="true" t="shared" si="85" ref="F697:H701">F698</f>
        <v>258.3</v>
      </c>
      <c r="G697" s="48">
        <f t="shared" si="85"/>
        <v>0</v>
      </c>
      <c r="H697" s="48">
        <f t="shared" si="85"/>
        <v>0</v>
      </c>
      <c r="I697" s="18"/>
      <c r="J697" s="18"/>
      <c r="K697" s="18"/>
      <c r="O697" s="18"/>
      <c r="P697" s="101"/>
    </row>
    <row r="698" spans="1:16" s="15" customFormat="1" ht="35.25" customHeight="1">
      <c r="A698" s="53" t="s">
        <v>1244</v>
      </c>
      <c r="B698" s="52" t="s">
        <v>16</v>
      </c>
      <c r="C698" s="53" t="s">
        <v>565</v>
      </c>
      <c r="D698" s="53" t="s">
        <v>11</v>
      </c>
      <c r="E698" s="53" t="s">
        <v>422</v>
      </c>
      <c r="F698" s="48">
        <f t="shared" si="85"/>
        <v>258.3</v>
      </c>
      <c r="G698" s="48">
        <f t="shared" si="85"/>
        <v>0</v>
      </c>
      <c r="H698" s="48">
        <f t="shared" si="85"/>
        <v>0</v>
      </c>
      <c r="I698" s="18"/>
      <c r="J698" s="18"/>
      <c r="K698" s="18"/>
      <c r="O698" s="18"/>
      <c r="P698" s="101"/>
    </row>
    <row r="699" spans="1:16" s="15" customFormat="1" ht="35.25" customHeight="1">
      <c r="A699" s="53" t="s">
        <v>1245</v>
      </c>
      <c r="B699" s="52" t="s">
        <v>17</v>
      </c>
      <c r="C699" s="53" t="s">
        <v>565</v>
      </c>
      <c r="D699" s="53" t="s">
        <v>7</v>
      </c>
      <c r="E699" s="53" t="s">
        <v>160</v>
      </c>
      <c r="F699" s="48">
        <f>480-221.7</f>
        <v>258.3</v>
      </c>
      <c r="G699" s="48">
        <v>0</v>
      </c>
      <c r="H699" s="48">
        <v>0</v>
      </c>
      <c r="I699" s="18"/>
      <c r="J699" s="18"/>
      <c r="K699" s="18"/>
      <c r="O699" s="18"/>
      <c r="P699" s="106">
        <v>-221.7</v>
      </c>
    </row>
    <row r="700" spans="1:16" s="15" customFormat="1" ht="118.5" customHeight="1">
      <c r="A700" s="53" t="s">
        <v>1246</v>
      </c>
      <c r="B700" s="52" t="s">
        <v>1095</v>
      </c>
      <c r="C700" s="53" t="s">
        <v>1094</v>
      </c>
      <c r="D700" s="53"/>
      <c r="E700" s="53"/>
      <c r="F700" s="48">
        <f t="shared" si="85"/>
        <v>221.7</v>
      </c>
      <c r="G700" s="48">
        <f t="shared" si="85"/>
        <v>0</v>
      </c>
      <c r="H700" s="48">
        <f t="shared" si="85"/>
        <v>0</v>
      </c>
      <c r="I700" s="18"/>
      <c r="J700" s="18"/>
      <c r="K700" s="18"/>
      <c r="O700" s="18"/>
      <c r="P700" s="101"/>
    </row>
    <row r="701" spans="1:16" s="15" customFormat="1" ht="35.25" customHeight="1">
      <c r="A701" s="53" t="s">
        <v>1247</v>
      </c>
      <c r="B701" s="52" t="s">
        <v>16</v>
      </c>
      <c r="C701" s="53" t="s">
        <v>1094</v>
      </c>
      <c r="D701" s="53" t="s">
        <v>11</v>
      </c>
      <c r="E701" s="53" t="s">
        <v>422</v>
      </c>
      <c r="F701" s="48">
        <f t="shared" si="85"/>
        <v>221.7</v>
      </c>
      <c r="G701" s="48">
        <f t="shared" si="85"/>
        <v>0</v>
      </c>
      <c r="H701" s="48">
        <f t="shared" si="85"/>
        <v>0</v>
      </c>
      <c r="I701" s="18"/>
      <c r="J701" s="18"/>
      <c r="K701" s="18"/>
      <c r="O701" s="18"/>
      <c r="P701" s="101"/>
    </row>
    <row r="702" spans="1:16" s="15" customFormat="1" ht="35.25" customHeight="1">
      <c r="A702" s="53" t="s">
        <v>1248</v>
      </c>
      <c r="B702" s="52" t="s">
        <v>17</v>
      </c>
      <c r="C702" s="53" t="s">
        <v>1094</v>
      </c>
      <c r="D702" s="53" t="s">
        <v>7</v>
      </c>
      <c r="E702" s="53" t="s">
        <v>160</v>
      </c>
      <c r="F702" s="48">
        <v>221.7</v>
      </c>
      <c r="G702" s="48">
        <v>0</v>
      </c>
      <c r="H702" s="48">
        <v>0</v>
      </c>
      <c r="I702" s="18"/>
      <c r="J702" s="18"/>
      <c r="K702" s="18"/>
      <c r="O702" s="18"/>
      <c r="P702" s="106">
        <v>221.7</v>
      </c>
    </row>
    <row r="703" spans="1:16" s="15" customFormat="1" ht="19.5" customHeight="1">
      <c r="A703" s="53" t="s">
        <v>1249</v>
      </c>
      <c r="B703" s="91" t="s">
        <v>1037</v>
      </c>
      <c r="C703" s="86" t="s">
        <v>248</v>
      </c>
      <c r="D703" s="63"/>
      <c r="E703" s="63"/>
      <c r="F703" s="64">
        <f>SUM(F704)</f>
        <v>2982.5</v>
      </c>
      <c r="G703" s="64">
        <f>SUM(G704)</f>
        <v>2799.5</v>
      </c>
      <c r="H703" s="64">
        <f>SUM(H704)</f>
        <v>2799.5</v>
      </c>
      <c r="I703" s="18"/>
      <c r="J703" s="18"/>
      <c r="K703" s="18"/>
      <c r="O703" s="18"/>
      <c r="P703" s="101"/>
    </row>
    <row r="704" spans="1:16" s="15" customFormat="1" ht="25.5">
      <c r="A704" s="53" t="s">
        <v>1250</v>
      </c>
      <c r="B704" s="71" t="s">
        <v>115</v>
      </c>
      <c r="C704" s="87" t="s">
        <v>249</v>
      </c>
      <c r="D704" s="65"/>
      <c r="E704" s="65"/>
      <c r="F704" s="56">
        <f>F705+F708+F711+F718</f>
        <v>2982.5</v>
      </c>
      <c r="G704" s="56">
        <f>G705+G708+G711</f>
        <v>2799.5</v>
      </c>
      <c r="H704" s="56">
        <f>H705+H708+H711</f>
        <v>2799.5</v>
      </c>
      <c r="I704" s="18"/>
      <c r="J704" s="18"/>
      <c r="K704" s="18"/>
      <c r="O704" s="18"/>
      <c r="P704" s="101"/>
    </row>
    <row r="705" spans="1:16" s="15" customFormat="1" ht="45" customHeight="1">
      <c r="A705" s="53" t="s">
        <v>1251</v>
      </c>
      <c r="B705" s="69" t="s">
        <v>116</v>
      </c>
      <c r="C705" s="88" t="s">
        <v>842</v>
      </c>
      <c r="D705" s="53"/>
      <c r="E705" s="53"/>
      <c r="F705" s="55">
        <f aca="true" t="shared" si="86" ref="F705:H706">F706</f>
        <v>2007.8</v>
      </c>
      <c r="G705" s="55">
        <f t="shared" si="86"/>
        <v>2007.8</v>
      </c>
      <c r="H705" s="55">
        <f t="shared" si="86"/>
        <v>2007.8</v>
      </c>
      <c r="I705" s="18"/>
      <c r="J705" s="18"/>
      <c r="K705" s="18"/>
      <c r="O705" s="18"/>
      <c r="P705" s="101"/>
    </row>
    <row r="706" spans="1:16" s="15" customFormat="1" ht="56.25" customHeight="1">
      <c r="A706" s="53" t="s">
        <v>1252</v>
      </c>
      <c r="B706" s="68" t="s">
        <v>46</v>
      </c>
      <c r="C706" s="88" t="s">
        <v>842</v>
      </c>
      <c r="D706" s="53" t="s">
        <v>44</v>
      </c>
      <c r="E706" s="53" t="s">
        <v>420</v>
      </c>
      <c r="F706" s="55">
        <f t="shared" si="86"/>
        <v>2007.8</v>
      </c>
      <c r="G706" s="55">
        <f t="shared" si="86"/>
        <v>2007.8</v>
      </c>
      <c r="H706" s="55">
        <f t="shared" si="86"/>
        <v>2007.8</v>
      </c>
      <c r="I706" s="18"/>
      <c r="J706" s="18"/>
      <c r="K706" s="18"/>
      <c r="O706" s="18"/>
      <c r="P706" s="101"/>
    </row>
    <row r="707" spans="1:16" s="15" customFormat="1" ht="30.75" customHeight="1">
      <c r="A707" s="53" t="s">
        <v>1253</v>
      </c>
      <c r="B707" s="68" t="s">
        <v>130</v>
      </c>
      <c r="C707" s="88" t="s">
        <v>842</v>
      </c>
      <c r="D707" s="53" t="s">
        <v>45</v>
      </c>
      <c r="E707" s="53" t="s">
        <v>121</v>
      </c>
      <c r="F707" s="48">
        <v>2007.8</v>
      </c>
      <c r="G707" s="48">
        <v>2007.8</v>
      </c>
      <c r="H707" s="48">
        <v>2007.8</v>
      </c>
      <c r="I707" s="18"/>
      <c r="J707" s="18"/>
      <c r="K707" s="18"/>
      <c r="O707" s="18"/>
      <c r="P707" s="101"/>
    </row>
    <row r="708" spans="1:16" s="15" customFormat="1" ht="36.75" customHeight="1">
      <c r="A708" s="53" t="s">
        <v>41</v>
      </c>
      <c r="B708" s="69" t="s">
        <v>117</v>
      </c>
      <c r="C708" s="88" t="s">
        <v>843</v>
      </c>
      <c r="D708" s="53"/>
      <c r="E708" s="53"/>
      <c r="F708" s="55">
        <f aca="true" t="shared" si="87" ref="F708:H709">F709</f>
        <v>19.9</v>
      </c>
      <c r="G708" s="55">
        <f t="shared" si="87"/>
        <v>19.9</v>
      </c>
      <c r="H708" s="55">
        <f t="shared" si="87"/>
        <v>19.9</v>
      </c>
      <c r="I708" s="18"/>
      <c r="J708" s="18"/>
      <c r="K708" s="18"/>
      <c r="O708" s="18"/>
      <c r="P708" s="101"/>
    </row>
    <row r="709" spans="1:16" s="15" customFormat="1" ht="58.5" customHeight="1">
      <c r="A709" s="53" t="s">
        <v>1254</v>
      </c>
      <c r="B709" s="68" t="s">
        <v>46</v>
      </c>
      <c r="C709" s="88" t="s">
        <v>843</v>
      </c>
      <c r="D709" s="53" t="s">
        <v>44</v>
      </c>
      <c r="E709" s="53" t="s">
        <v>420</v>
      </c>
      <c r="F709" s="55">
        <f t="shared" si="87"/>
        <v>19.9</v>
      </c>
      <c r="G709" s="55">
        <f t="shared" si="87"/>
        <v>19.9</v>
      </c>
      <c r="H709" s="55">
        <f t="shared" si="87"/>
        <v>19.9</v>
      </c>
      <c r="I709" s="18"/>
      <c r="J709" s="18"/>
      <c r="K709" s="18"/>
      <c r="O709" s="18"/>
      <c r="P709" s="101"/>
    </row>
    <row r="710" spans="1:16" s="15" customFormat="1" ht="25.5">
      <c r="A710" s="53" t="s">
        <v>1255</v>
      </c>
      <c r="B710" s="68" t="s">
        <v>130</v>
      </c>
      <c r="C710" s="88" t="s">
        <v>843</v>
      </c>
      <c r="D710" s="53" t="s">
        <v>45</v>
      </c>
      <c r="E710" s="53" t="s">
        <v>121</v>
      </c>
      <c r="F710" s="55">
        <v>19.9</v>
      </c>
      <c r="G710" s="55">
        <v>19.9</v>
      </c>
      <c r="H710" s="55">
        <v>19.9</v>
      </c>
      <c r="I710" s="18"/>
      <c r="J710" s="18"/>
      <c r="K710" s="18"/>
      <c r="O710" s="18"/>
      <c r="P710" s="101"/>
    </row>
    <row r="711" spans="1:16" s="16" customFormat="1" ht="51" customHeight="1">
      <c r="A711" s="53" t="s">
        <v>1256</v>
      </c>
      <c r="B711" s="69" t="s">
        <v>118</v>
      </c>
      <c r="C711" s="88" t="s">
        <v>250</v>
      </c>
      <c r="D711" s="53"/>
      <c r="E711" s="53"/>
      <c r="F711" s="55">
        <f>F712+F714+F716</f>
        <v>806.8000000000001</v>
      </c>
      <c r="G711" s="55">
        <f>G712+G714+G716</f>
        <v>771.8000000000001</v>
      </c>
      <c r="H711" s="55">
        <f>H712+H714+H716</f>
        <v>771.8000000000001</v>
      </c>
      <c r="I711" s="20"/>
      <c r="J711" s="22"/>
      <c r="K711" s="22"/>
      <c r="O711" s="22"/>
      <c r="P711" s="105"/>
    </row>
    <row r="712" spans="1:16" s="16" customFormat="1" ht="60" customHeight="1">
      <c r="A712" s="53" t="s">
        <v>1257</v>
      </c>
      <c r="B712" s="68" t="s">
        <v>46</v>
      </c>
      <c r="C712" s="88" t="s">
        <v>250</v>
      </c>
      <c r="D712" s="53" t="s">
        <v>44</v>
      </c>
      <c r="E712" s="53" t="s">
        <v>420</v>
      </c>
      <c r="F712" s="55">
        <f>F713</f>
        <v>720.1</v>
      </c>
      <c r="G712" s="55">
        <f>G713</f>
        <v>720.1</v>
      </c>
      <c r="H712" s="55">
        <f>H713</f>
        <v>720.1</v>
      </c>
      <c r="I712" s="20"/>
      <c r="J712" s="22"/>
      <c r="K712" s="22"/>
      <c r="M712" s="43">
        <v>100</v>
      </c>
      <c r="O712" s="22"/>
      <c r="P712" s="105"/>
    </row>
    <row r="713" spans="1:16" s="14" customFormat="1" ht="30" customHeight="1">
      <c r="A713" s="53" t="s">
        <v>1258</v>
      </c>
      <c r="B713" s="68" t="s">
        <v>130</v>
      </c>
      <c r="C713" s="88" t="s">
        <v>250</v>
      </c>
      <c r="D713" s="53" t="s">
        <v>45</v>
      </c>
      <c r="E713" s="53" t="s">
        <v>121</v>
      </c>
      <c r="F713" s="55">
        <v>720.1</v>
      </c>
      <c r="G713" s="55">
        <v>720.1</v>
      </c>
      <c r="H713" s="55">
        <v>720.1</v>
      </c>
      <c r="I713" s="21"/>
      <c r="J713" s="21"/>
      <c r="K713" s="21"/>
      <c r="O713" s="21"/>
      <c r="P713" s="108"/>
    </row>
    <row r="714" spans="1:16" s="14" customFormat="1" ht="29.25" customHeight="1">
      <c r="A714" s="53" t="s">
        <v>1259</v>
      </c>
      <c r="B714" s="52" t="s">
        <v>16</v>
      </c>
      <c r="C714" s="88" t="s">
        <v>250</v>
      </c>
      <c r="D714" s="53" t="s">
        <v>11</v>
      </c>
      <c r="E714" s="53" t="s">
        <v>420</v>
      </c>
      <c r="F714" s="55">
        <f>F715</f>
        <v>86.5</v>
      </c>
      <c r="G714" s="55">
        <f>G715</f>
        <v>51.5</v>
      </c>
      <c r="H714" s="55">
        <f>H715</f>
        <v>51.5</v>
      </c>
      <c r="I714" s="21"/>
      <c r="J714" s="21"/>
      <c r="K714" s="21"/>
      <c r="O714" s="21"/>
      <c r="P714" s="108"/>
    </row>
    <row r="715" spans="1:16" s="14" customFormat="1" ht="28.5" customHeight="1">
      <c r="A715" s="53" t="s">
        <v>1260</v>
      </c>
      <c r="B715" s="52" t="s">
        <v>17</v>
      </c>
      <c r="C715" s="88" t="s">
        <v>250</v>
      </c>
      <c r="D715" s="53" t="s">
        <v>7</v>
      </c>
      <c r="E715" s="53" t="s">
        <v>121</v>
      </c>
      <c r="F715" s="55">
        <f>51.5+35</f>
        <v>86.5</v>
      </c>
      <c r="G715" s="55">
        <v>51.5</v>
      </c>
      <c r="H715" s="55">
        <v>51.5</v>
      </c>
      <c r="I715" s="21"/>
      <c r="J715" s="21"/>
      <c r="K715" s="21"/>
      <c r="O715" s="21"/>
      <c r="P715" s="107">
        <v>35</v>
      </c>
    </row>
    <row r="716" spans="1:16" s="15" customFormat="1" ht="16.5" customHeight="1">
      <c r="A716" s="53" t="s">
        <v>1261</v>
      </c>
      <c r="B716" s="68" t="s">
        <v>119</v>
      </c>
      <c r="C716" s="88" t="s">
        <v>250</v>
      </c>
      <c r="D716" s="53" t="s">
        <v>122</v>
      </c>
      <c r="E716" s="53" t="s">
        <v>420</v>
      </c>
      <c r="F716" s="55">
        <f>SUM(F717)</f>
        <v>0.2</v>
      </c>
      <c r="G716" s="55">
        <f>SUM(G717)</f>
        <v>0.2</v>
      </c>
      <c r="H716" s="55">
        <f>SUM(H717)</f>
        <v>0.2</v>
      </c>
      <c r="I716" s="18"/>
      <c r="J716" s="18"/>
      <c r="K716" s="18"/>
      <c r="O716" s="18"/>
      <c r="P716" s="101"/>
    </row>
    <row r="717" spans="1:16" s="15" customFormat="1" ht="18" customHeight="1">
      <c r="A717" s="53" t="s">
        <v>1262</v>
      </c>
      <c r="B717" s="68" t="s">
        <v>120</v>
      </c>
      <c r="C717" s="88" t="s">
        <v>250</v>
      </c>
      <c r="D717" s="53" t="s">
        <v>123</v>
      </c>
      <c r="E717" s="53" t="s">
        <v>121</v>
      </c>
      <c r="F717" s="55">
        <v>0.2</v>
      </c>
      <c r="G717" s="55">
        <v>0.2</v>
      </c>
      <c r="H717" s="55">
        <v>0.2</v>
      </c>
      <c r="I717" s="18"/>
      <c r="J717" s="18"/>
      <c r="K717" s="18"/>
      <c r="O717" s="18"/>
      <c r="P717" s="101"/>
    </row>
    <row r="718" spans="1:16" s="15" customFormat="1" ht="61.5" customHeight="1">
      <c r="A718" s="53" t="s">
        <v>1263</v>
      </c>
      <c r="B718" s="69" t="s">
        <v>1073</v>
      </c>
      <c r="C718" s="88" t="s">
        <v>1074</v>
      </c>
      <c r="D718" s="53"/>
      <c r="E718" s="53"/>
      <c r="F718" s="55">
        <f aca="true" t="shared" si="88" ref="F718:H719">F719</f>
        <v>148</v>
      </c>
      <c r="G718" s="55">
        <f t="shared" si="88"/>
        <v>0</v>
      </c>
      <c r="H718" s="55">
        <f t="shared" si="88"/>
        <v>0</v>
      </c>
      <c r="I718" s="18"/>
      <c r="J718" s="18"/>
      <c r="K718" s="18"/>
      <c r="O718" s="18"/>
      <c r="P718" s="101"/>
    </row>
    <row r="719" spans="1:16" s="15" customFormat="1" ht="56.25" customHeight="1">
      <c r="A719" s="53" t="s">
        <v>1264</v>
      </c>
      <c r="B719" s="68" t="s">
        <v>46</v>
      </c>
      <c r="C719" s="88" t="s">
        <v>1074</v>
      </c>
      <c r="D719" s="53" t="s">
        <v>44</v>
      </c>
      <c r="E719" s="53" t="s">
        <v>420</v>
      </c>
      <c r="F719" s="55">
        <f t="shared" si="88"/>
        <v>148</v>
      </c>
      <c r="G719" s="55">
        <f t="shared" si="88"/>
        <v>0</v>
      </c>
      <c r="H719" s="55">
        <f t="shared" si="88"/>
        <v>0</v>
      </c>
      <c r="I719" s="18"/>
      <c r="J719" s="18"/>
      <c r="K719" s="18"/>
      <c r="O719" s="18"/>
      <c r="P719" s="101"/>
    </row>
    <row r="720" spans="1:16" s="15" customFormat="1" ht="28.5" customHeight="1">
      <c r="A720" s="53" t="s">
        <v>1265</v>
      </c>
      <c r="B720" s="68" t="s">
        <v>130</v>
      </c>
      <c r="C720" s="88" t="s">
        <v>1074</v>
      </c>
      <c r="D720" s="53" t="s">
        <v>45</v>
      </c>
      <c r="E720" s="53" t="s">
        <v>121</v>
      </c>
      <c r="F720" s="55">
        <v>148</v>
      </c>
      <c r="G720" s="55">
        <v>0</v>
      </c>
      <c r="H720" s="55">
        <v>0</v>
      </c>
      <c r="I720" s="18"/>
      <c r="J720" s="18"/>
      <c r="K720" s="18"/>
      <c r="O720" s="18"/>
      <c r="P720" s="106">
        <v>148</v>
      </c>
    </row>
    <row r="721" spans="1:16" s="15" customFormat="1" ht="28.5" customHeight="1">
      <c r="A721" s="53" t="s">
        <v>1266</v>
      </c>
      <c r="B721" s="70" t="s">
        <v>132</v>
      </c>
      <c r="C721" s="86" t="s">
        <v>251</v>
      </c>
      <c r="D721" s="63"/>
      <c r="E721" s="63"/>
      <c r="F721" s="64">
        <f>F722+F773</f>
        <v>44931.7</v>
      </c>
      <c r="G721" s="64">
        <f>G722+G773</f>
        <v>34374.7</v>
      </c>
      <c r="H721" s="64">
        <f>H722+H773</f>
        <v>32900.6</v>
      </c>
      <c r="I721" s="18"/>
      <c r="J721" s="18"/>
      <c r="K721" s="18"/>
      <c r="O721" s="18"/>
      <c r="P721" s="101"/>
    </row>
    <row r="722" spans="1:16" s="15" customFormat="1" ht="18.75" customHeight="1">
      <c r="A722" s="53" t="s">
        <v>1267</v>
      </c>
      <c r="B722" s="71" t="s">
        <v>133</v>
      </c>
      <c r="C722" s="87" t="s">
        <v>252</v>
      </c>
      <c r="D722" s="65"/>
      <c r="E722" s="65"/>
      <c r="F722" s="57">
        <f>F726+F742+F763+F723+F768+F760+F733+F736+F739+F750+F755</f>
        <v>43087.799999999996</v>
      </c>
      <c r="G722" s="57">
        <f>G726+G742+G763+G723+G768+G760+G733+G736+G739+G750</f>
        <v>32857.5</v>
      </c>
      <c r="H722" s="57">
        <f>H726+H742+H763+H723+H768+H760+H733+H736+H739+H750</f>
        <v>32857</v>
      </c>
      <c r="I722" s="18"/>
      <c r="J722" s="18"/>
      <c r="K722" s="18"/>
      <c r="O722" s="18"/>
      <c r="P722" s="101"/>
    </row>
    <row r="723" spans="1:16" s="15" customFormat="1" ht="44.25" customHeight="1">
      <c r="A723" s="53" t="s">
        <v>1268</v>
      </c>
      <c r="B723" s="69" t="s">
        <v>536</v>
      </c>
      <c r="C723" s="88" t="s">
        <v>253</v>
      </c>
      <c r="D723" s="53"/>
      <c r="E723" s="53"/>
      <c r="F723" s="48">
        <f aca="true" t="shared" si="89" ref="F723:H724">SUM(F724)</f>
        <v>2380.4</v>
      </c>
      <c r="G723" s="48">
        <f t="shared" si="89"/>
        <v>2380.4</v>
      </c>
      <c r="H723" s="48">
        <f t="shared" si="89"/>
        <v>2380.4</v>
      </c>
      <c r="I723" s="18"/>
      <c r="J723" s="18"/>
      <c r="K723" s="18"/>
      <c r="O723" s="18"/>
      <c r="P723" s="101"/>
    </row>
    <row r="724" spans="1:16" s="15" customFormat="1" ht="54" customHeight="1">
      <c r="A724" s="53" t="s">
        <v>1269</v>
      </c>
      <c r="B724" s="68" t="s">
        <v>46</v>
      </c>
      <c r="C724" s="88" t="s">
        <v>253</v>
      </c>
      <c r="D724" s="53" t="s">
        <v>44</v>
      </c>
      <c r="E724" s="53" t="s">
        <v>420</v>
      </c>
      <c r="F724" s="48">
        <f t="shared" si="89"/>
        <v>2380.4</v>
      </c>
      <c r="G724" s="48">
        <f t="shared" si="89"/>
        <v>2380.4</v>
      </c>
      <c r="H724" s="48">
        <f t="shared" si="89"/>
        <v>2380.4</v>
      </c>
      <c r="I724" s="18"/>
      <c r="J724" s="18"/>
      <c r="K724" s="18"/>
      <c r="L724" s="15">
        <v>96</v>
      </c>
      <c r="O724" s="18"/>
      <c r="P724" s="101"/>
    </row>
    <row r="725" spans="1:16" s="15" customFormat="1" ht="30.75" customHeight="1">
      <c r="A725" s="53" t="s">
        <v>1270</v>
      </c>
      <c r="B725" s="68" t="s">
        <v>202</v>
      </c>
      <c r="C725" s="88" t="s">
        <v>253</v>
      </c>
      <c r="D725" s="53" t="s">
        <v>45</v>
      </c>
      <c r="E725" s="53" t="s">
        <v>114</v>
      </c>
      <c r="F725" s="48">
        <v>2380.4</v>
      </c>
      <c r="G725" s="48">
        <v>2380.4</v>
      </c>
      <c r="H725" s="48">
        <v>2380.4</v>
      </c>
      <c r="I725" s="18"/>
      <c r="J725" s="18"/>
      <c r="K725" s="18">
        <v>-100</v>
      </c>
      <c r="L725" s="15">
        <v>-96</v>
      </c>
      <c r="M725" s="41">
        <v>200</v>
      </c>
      <c r="O725" s="18"/>
      <c r="P725" s="101"/>
    </row>
    <row r="726" spans="1:16" s="15" customFormat="1" ht="54" customHeight="1">
      <c r="A726" s="53" t="s">
        <v>1271</v>
      </c>
      <c r="B726" s="69" t="s">
        <v>136</v>
      </c>
      <c r="C726" s="88" t="s">
        <v>255</v>
      </c>
      <c r="D726" s="53"/>
      <c r="E726" s="53"/>
      <c r="F726" s="55">
        <f>F727+F729+F731</f>
        <v>5000</v>
      </c>
      <c r="G726" s="55">
        <f aca="true" t="shared" si="90" ref="F726:H731">G727</f>
        <v>100</v>
      </c>
      <c r="H726" s="55">
        <f t="shared" si="90"/>
        <v>100</v>
      </c>
      <c r="I726" s="18"/>
      <c r="J726" s="18"/>
      <c r="K726" s="18"/>
      <c r="O726" s="18"/>
      <c r="P726" s="101"/>
    </row>
    <row r="727" spans="1:16" s="15" customFormat="1" ht="15" customHeight="1">
      <c r="A727" s="53" t="s">
        <v>1272</v>
      </c>
      <c r="B727" s="68" t="s">
        <v>119</v>
      </c>
      <c r="C727" s="88" t="s">
        <v>255</v>
      </c>
      <c r="D727" s="53" t="s">
        <v>122</v>
      </c>
      <c r="E727" s="53" t="s">
        <v>420</v>
      </c>
      <c r="F727" s="55">
        <f t="shared" si="90"/>
        <v>3916.4</v>
      </c>
      <c r="G727" s="55">
        <f t="shared" si="90"/>
        <v>100</v>
      </c>
      <c r="H727" s="55">
        <f t="shared" si="90"/>
        <v>100</v>
      </c>
      <c r="I727" s="18"/>
      <c r="J727" s="18"/>
      <c r="K727" s="18"/>
      <c r="O727" s="18"/>
      <c r="P727" s="101"/>
    </row>
    <row r="728" spans="1:16" s="15" customFormat="1" ht="17.25" customHeight="1">
      <c r="A728" s="53" t="s">
        <v>1273</v>
      </c>
      <c r="B728" s="68" t="s">
        <v>137</v>
      </c>
      <c r="C728" s="88" t="s">
        <v>255</v>
      </c>
      <c r="D728" s="53" t="s">
        <v>139</v>
      </c>
      <c r="E728" s="53" t="s">
        <v>138</v>
      </c>
      <c r="F728" s="55">
        <f>5000-1083.6</f>
        <v>3916.4</v>
      </c>
      <c r="G728" s="55">
        <v>100</v>
      </c>
      <c r="H728" s="55">
        <v>100</v>
      </c>
      <c r="I728" s="18"/>
      <c r="J728" s="18"/>
      <c r="K728" s="18"/>
      <c r="O728" s="18"/>
      <c r="P728" s="106">
        <v>-1083.6</v>
      </c>
    </row>
    <row r="729" spans="1:16" s="15" customFormat="1" ht="32.25" customHeight="1">
      <c r="A729" s="53" t="s">
        <v>1274</v>
      </c>
      <c r="B729" s="52" t="s">
        <v>16</v>
      </c>
      <c r="C729" s="88" t="s">
        <v>255</v>
      </c>
      <c r="D729" s="53" t="s">
        <v>11</v>
      </c>
      <c r="E729" s="53" t="s">
        <v>418</v>
      </c>
      <c r="F729" s="55">
        <f t="shared" si="90"/>
        <v>103.6</v>
      </c>
      <c r="G729" s="55">
        <f t="shared" si="90"/>
        <v>0</v>
      </c>
      <c r="H729" s="55">
        <f t="shared" si="90"/>
        <v>0</v>
      </c>
      <c r="I729" s="18"/>
      <c r="J729" s="18"/>
      <c r="K729" s="18"/>
      <c r="O729" s="18"/>
      <c r="P729" s="101"/>
    </row>
    <row r="730" spans="1:16" s="15" customFormat="1" ht="35.25" customHeight="1">
      <c r="A730" s="53" t="s">
        <v>1275</v>
      </c>
      <c r="B730" s="52" t="s">
        <v>17</v>
      </c>
      <c r="C730" s="88" t="s">
        <v>255</v>
      </c>
      <c r="D730" s="53" t="s">
        <v>7</v>
      </c>
      <c r="E730" s="53" t="s">
        <v>167</v>
      </c>
      <c r="F730" s="55">
        <v>103.6</v>
      </c>
      <c r="G730" s="55">
        <v>0</v>
      </c>
      <c r="H730" s="55">
        <v>0</v>
      </c>
      <c r="I730" s="18"/>
      <c r="J730" s="18"/>
      <c r="K730" s="18"/>
      <c r="O730" s="18"/>
      <c r="P730" s="106">
        <v>103.6</v>
      </c>
    </row>
    <row r="731" spans="1:16" s="15" customFormat="1" ht="36.75" customHeight="1">
      <c r="A731" s="53" t="s">
        <v>1276</v>
      </c>
      <c r="B731" s="52" t="s">
        <v>16</v>
      </c>
      <c r="C731" s="88" t="s">
        <v>255</v>
      </c>
      <c r="D731" s="53" t="s">
        <v>184</v>
      </c>
      <c r="E731" s="53" t="s">
        <v>9</v>
      </c>
      <c r="F731" s="55">
        <f t="shared" si="90"/>
        <v>980</v>
      </c>
      <c r="G731" s="55">
        <f t="shared" si="90"/>
        <v>0</v>
      </c>
      <c r="H731" s="55">
        <f t="shared" si="90"/>
        <v>0</v>
      </c>
      <c r="I731" s="18"/>
      <c r="J731" s="18"/>
      <c r="K731" s="18"/>
      <c r="O731" s="18"/>
      <c r="P731" s="101"/>
    </row>
    <row r="732" spans="1:16" s="15" customFormat="1" ht="36.75" customHeight="1">
      <c r="A732" s="53" t="s">
        <v>1277</v>
      </c>
      <c r="B732" s="68" t="s">
        <v>150</v>
      </c>
      <c r="C732" s="88" t="s">
        <v>255</v>
      </c>
      <c r="D732" s="53" t="s">
        <v>151</v>
      </c>
      <c r="E732" s="53" t="s">
        <v>638</v>
      </c>
      <c r="F732" s="55">
        <v>980</v>
      </c>
      <c r="G732" s="55">
        <v>0</v>
      </c>
      <c r="H732" s="55">
        <v>0</v>
      </c>
      <c r="I732" s="18"/>
      <c r="J732" s="18"/>
      <c r="K732" s="18"/>
      <c r="O732" s="18"/>
      <c r="P732" s="106">
        <v>980</v>
      </c>
    </row>
    <row r="733" spans="1:16" s="15" customFormat="1" ht="38.25">
      <c r="A733" s="53" t="s">
        <v>1278</v>
      </c>
      <c r="B733" s="68" t="s">
        <v>459</v>
      </c>
      <c r="C733" s="88" t="s">
        <v>456</v>
      </c>
      <c r="D733" s="53"/>
      <c r="E733" s="67"/>
      <c r="F733" s="48">
        <f aca="true" t="shared" si="91" ref="F733:H734">SUM(F734)</f>
        <v>35</v>
      </c>
      <c r="G733" s="48">
        <f t="shared" si="91"/>
        <v>35</v>
      </c>
      <c r="H733" s="48">
        <f t="shared" si="91"/>
        <v>35</v>
      </c>
      <c r="I733" s="18"/>
      <c r="J733" s="18"/>
      <c r="K733" s="18"/>
      <c r="O733" s="18"/>
      <c r="P733" s="101"/>
    </row>
    <row r="734" spans="1:16" s="15" customFormat="1" ht="18.75" customHeight="1">
      <c r="A734" s="53" t="s">
        <v>1279</v>
      </c>
      <c r="B734" s="68" t="s">
        <v>183</v>
      </c>
      <c r="C734" s="88" t="s">
        <v>456</v>
      </c>
      <c r="D734" s="53" t="s">
        <v>184</v>
      </c>
      <c r="E734" s="53" t="s">
        <v>9</v>
      </c>
      <c r="F734" s="48">
        <f t="shared" si="91"/>
        <v>35</v>
      </c>
      <c r="G734" s="48">
        <f t="shared" si="91"/>
        <v>35</v>
      </c>
      <c r="H734" s="48">
        <f t="shared" si="91"/>
        <v>35</v>
      </c>
      <c r="I734" s="18"/>
      <c r="J734" s="18"/>
      <c r="K734" s="18"/>
      <c r="O734" s="18"/>
      <c r="P734" s="101"/>
    </row>
    <row r="735" spans="1:16" s="15" customFormat="1" ht="20.25" customHeight="1">
      <c r="A735" s="53" t="s">
        <v>1280</v>
      </c>
      <c r="B735" s="68" t="s">
        <v>185</v>
      </c>
      <c r="C735" s="88" t="s">
        <v>456</v>
      </c>
      <c r="D735" s="53" t="s">
        <v>186</v>
      </c>
      <c r="E735" s="53" t="s">
        <v>149</v>
      </c>
      <c r="F735" s="48">
        <v>35</v>
      </c>
      <c r="G735" s="48">
        <v>35</v>
      </c>
      <c r="H735" s="48">
        <v>35</v>
      </c>
      <c r="I735" s="18"/>
      <c r="J735" s="18"/>
      <c r="K735" s="18"/>
      <c r="O735" s="18"/>
      <c r="P735" s="101"/>
    </row>
    <row r="736" spans="1:16" s="15" customFormat="1" ht="38.25">
      <c r="A736" s="53" t="s">
        <v>1281</v>
      </c>
      <c r="B736" s="89" t="s">
        <v>458</v>
      </c>
      <c r="C736" s="88" t="s">
        <v>457</v>
      </c>
      <c r="D736" s="53"/>
      <c r="E736" s="53"/>
      <c r="F736" s="48">
        <f aca="true" t="shared" si="92" ref="F736:H737">SUM(F737)</f>
        <v>100</v>
      </c>
      <c r="G736" s="48">
        <f t="shared" si="92"/>
        <v>100</v>
      </c>
      <c r="H736" s="48">
        <f t="shared" si="92"/>
        <v>100</v>
      </c>
      <c r="I736" s="18"/>
      <c r="J736" s="18"/>
      <c r="K736" s="18"/>
      <c r="O736" s="18"/>
      <c r="P736" s="101"/>
    </row>
    <row r="737" spans="1:16" s="15" customFormat="1" ht="15.75" customHeight="1">
      <c r="A737" s="53" t="s">
        <v>1282</v>
      </c>
      <c r="B737" s="69" t="s">
        <v>119</v>
      </c>
      <c r="C737" s="88" t="s">
        <v>457</v>
      </c>
      <c r="D737" s="53" t="s">
        <v>122</v>
      </c>
      <c r="E737" s="53" t="s">
        <v>9</v>
      </c>
      <c r="F737" s="48">
        <f t="shared" si="92"/>
        <v>100</v>
      </c>
      <c r="G737" s="48">
        <f t="shared" si="92"/>
        <v>100</v>
      </c>
      <c r="H737" s="48">
        <f t="shared" si="92"/>
        <v>100</v>
      </c>
      <c r="I737" s="18"/>
      <c r="J737" s="18"/>
      <c r="K737" s="18"/>
      <c r="O737" s="18"/>
      <c r="P737" s="101"/>
    </row>
    <row r="738" spans="1:16" s="15" customFormat="1" ht="42" customHeight="1">
      <c r="A738" s="53" t="s">
        <v>40</v>
      </c>
      <c r="B738" s="69" t="s">
        <v>6</v>
      </c>
      <c r="C738" s="88" t="s">
        <v>457</v>
      </c>
      <c r="D738" s="53" t="s">
        <v>159</v>
      </c>
      <c r="E738" s="53" t="s">
        <v>149</v>
      </c>
      <c r="F738" s="48">
        <v>100</v>
      </c>
      <c r="G738" s="48">
        <v>100</v>
      </c>
      <c r="H738" s="48">
        <v>100</v>
      </c>
      <c r="I738" s="18"/>
      <c r="J738" s="18"/>
      <c r="K738" s="18"/>
      <c r="O738" s="18"/>
      <c r="P738" s="101"/>
    </row>
    <row r="739" spans="1:16" s="16" customFormat="1" ht="40.5" customHeight="1">
      <c r="A739" s="53" t="s">
        <v>1283</v>
      </c>
      <c r="B739" s="89" t="s">
        <v>460</v>
      </c>
      <c r="C739" s="88" t="s">
        <v>455</v>
      </c>
      <c r="D739" s="53"/>
      <c r="E739" s="53"/>
      <c r="F739" s="55">
        <f aca="true" t="shared" si="93" ref="F739:H740">F740</f>
        <v>1572</v>
      </c>
      <c r="G739" s="55">
        <f t="shared" si="93"/>
        <v>1572</v>
      </c>
      <c r="H739" s="55">
        <f t="shared" si="93"/>
        <v>1572</v>
      </c>
      <c r="I739" s="22"/>
      <c r="J739" s="22"/>
      <c r="K739" s="22"/>
      <c r="O739" s="22"/>
      <c r="P739" s="105"/>
    </row>
    <row r="740" spans="1:16" s="15" customFormat="1" ht="17.25" customHeight="1">
      <c r="A740" s="53" t="s">
        <v>1284</v>
      </c>
      <c r="B740" s="68" t="s">
        <v>183</v>
      </c>
      <c r="C740" s="88" t="s">
        <v>455</v>
      </c>
      <c r="D740" s="53" t="s">
        <v>184</v>
      </c>
      <c r="E740" s="53" t="s">
        <v>9</v>
      </c>
      <c r="F740" s="55">
        <f t="shared" si="93"/>
        <v>1572</v>
      </c>
      <c r="G740" s="55">
        <f t="shared" si="93"/>
        <v>1572</v>
      </c>
      <c r="H740" s="55">
        <f t="shared" si="93"/>
        <v>1572</v>
      </c>
      <c r="I740" s="18"/>
      <c r="J740" s="18"/>
      <c r="K740" s="18"/>
      <c r="O740" s="18"/>
      <c r="P740" s="101"/>
    </row>
    <row r="741" spans="1:16" s="15" customFormat="1" ht="24" customHeight="1">
      <c r="A741" s="53" t="s">
        <v>1285</v>
      </c>
      <c r="B741" s="68" t="s">
        <v>185</v>
      </c>
      <c r="C741" s="88" t="s">
        <v>455</v>
      </c>
      <c r="D741" s="53" t="s">
        <v>186</v>
      </c>
      <c r="E741" s="53" t="s">
        <v>182</v>
      </c>
      <c r="F741" s="48">
        <v>1572</v>
      </c>
      <c r="G741" s="48">
        <v>1572</v>
      </c>
      <c r="H741" s="48">
        <v>1572</v>
      </c>
      <c r="I741" s="18"/>
      <c r="J741" s="18"/>
      <c r="K741" s="18">
        <v>-788.1</v>
      </c>
      <c r="O741" s="18"/>
      <c r="P741" s="101"/>
    </row>
    <row r="742" spans="1:16" s="15" customFormat="1" ht="45" customHeight="1">
      <c r="A742" s="53" t="s">
        <v>1286</v>
      </c>
      <c r="B742" s="69" t="s">
        <v>134</v>
      </c>
      <c r="C742" s="88" t="s">
        <v>254</v>
      </c>
      <c r="D742" s="53"/>
      <c r="E742" s="53"/>
      <c r="F742" s="55">
        <f>F743+F745+F747</f>
        <v>29765.2</v>
      </c>
      <c r="G742" s="55">
        <f>G743+G745+G747</f>
        <v>26780.1</v>
      </c>
      <c r="H742" s="55">
        <f>H743+H745+H747</f>
        <v>26780.1</v>
      </c>
      <c r="I742" s="18"/>
      <c r="J742" s="18"/>
      <c r="K742" s="18"/>
      <c r="O742" s="18"/>
      <c r="P742" s="101"/>
    </row>
    <row r="743" spans="1:16" s="15" customFormat="1" ht="55.5" customHeight="1">
      <c r="A743" s="53" t="s">
        <v>1287</v>
      </c>
      <c r="B743" s="68" t="s">
        <v>46</v>
      </c>
      <c r="C743" s="88" t="s">
        <v>254</v>
      </c>
      <c r="D743" s="53" t="s">
        <v>44</v>
      </c>
      <c r="E743" s="53" t="s">
        <v>420</v>
      </c>
      <c r="F743" s="55">
        <f>SUM(F744)</f>
        <v>22922.1</v>
      </c>
      <c r="G743" s="55">
        <f>G744</f>
        <v>22922.1</v>
      </c>
      <c r="H743" s="55">
        <f>H744</f>
        <v>22922.1</v>
      </c>
      <c r="I743" s="18"/>
      <c r="J743" s="18"/>
      <c r="K743" s="18">
        <v>664.5</v>
      </c>
      <c r="L743" s="15">
        <v>-685</v>
      </c>
      <c r="M743" s="41">
        <v>-180.3</v>
      </c>
      <c r="O743" s="18"/>
      <c r="P743" s="101"/>
    </row>
    <row r="744" spans="1:16" s="14" customFormat="1" ht="29.25" customHeight="1">
      <c r="A744" s="53" t="s">
        <v>1288</v>
      </c>
      <c r="B744" s="68" t="s">
        <v>130</v>
      </c>
      <c r="C744" s="88" t="s">
        <v>254</v>
      </c>
      <c r="D744" s="53" t="s">
        <v>45</v>
      </c>
      <c r="E744" s="53" t="s">
        <v>135</v>
      </c>
      <c r="F744" s="48">
        <v>22922.1</v>
      </c>
      <c r="G744" s="48">
        <v>22922.1</v>
      </c>
      <c r="H744" s="48">
        <v>22922.1</v>
      </c>
      <c r="I744" s="21"/>
      <c r="J744" s="21"/>
      <c r="K744" s="21"/>
      <c r="O744" s="21"/>
      <c r="P744" s="108"/>
    </row>
    <row r="745" spans="1:16" s="14" customFormat="1" ht="26.25" customHeight="1">
      <c r="A745" s="53" t="s">
        <v>1289</v>
      </c>
      <c r="B745" s="52" t="s">
        <v>16</v>
      </c>
      <c r="C745" s="88" t="s">
        <v>254</v>
      </c>
      <c r="D745" s="53" t="s">
        <v>11</v>
      </c>
      <c r="E745" s="53" t="s">
        <v>420</v>
      </c>
      <c r="F745" s="55">
        <f>SUM(F746)</f>
        <v>6071.900000000001</v>
      </c>
      <c r="G745" s="55">
        <f>G746</f>
        <v>3708</v>
      </c>
      <c r="H745" s="55">
        <f>H746</f>
        <v>3708</v>
      </c>
      <c r="I745" s="21"/>
      <c r="J745" s="21"/>
      <c r="K745" s="21"/>
      <c r="L745" s="14">
        <v>50</v>
      </c>
      <c r="M745" s="42">
        <v>176</v>
      </c>
      <c r="O745" s="21"/>
      <c r="P745" s="108"/>
    </row>
    <row r="746" spans="1:16" s="14" customFormat="1" ht="27.75" customHeight="1">
      <c r="A746" s="53" t="s">
        <v>1290</v>
      </c>
      <c r="B746" s="52" t="s">
        <v>17</v>
      </c>
      <c r="C746" s="88" t="s">
        <v>254</v>
      </c>
      <c r="D746" s="53" t="s">
        <v>7</v>
      </c>
      <c r="E746" s="53" t="s">
        <v>135</v>
      </c>
      <c r="F746" s="48">
        <f>6076.5+225.6-230.2</f>
        <v>6071.900000000001</v>
      </c>
      <c r="G746" s="48">
        <v>3708</v>
      </c>
      <c r="H746" s="48">
        <v>3708</v>
      </c>
      <c r="I746" s="21"/>
      <c r="J746" s="21"/>
      <c r="K746" s="21"/>
      <c r="O746" s="21"/>
      <c r="P746" s="107">
        <v>-230.2</v>
      </c>
    </row>
    <row r="747" spans="1:16" s="14" customFormat="1" ht="18" customHeight="1">
      <c r="A747" s="53" t="s">
        <v>1291</v>
      </c>
      <c r="B747" s="68" t="s">
        <v>119</v>
      </c>
      <c r="C747" s="88" t="s">
        <v>254</v>
      </c>
      <c r="D747" s="53" t="s">
        <v>122</v>
      </c>
      <c r="E747" s="53" t="s">
        <v>420</v>
      </c>
      <c r="F747" s="55">
        <f>SUM(F749+F748)</f>
        <v>771.1999999999999</v>
      </c>
      <c r="G747" s="55">
        <f>G749</f>
        <v>150</v>
      </c>
      <c r="H747" s="55">
        <f>H749</f>
        <v>150</v>
      </c>
      <c r="I747" s="21"/>
      <c r="J747" s="21"/>
      <c r="K747" s="21"/>
      <c r="O747" s="21"/>
      <c r="P747" s="108"/>
    </row>
    <row r="748" spans="1:16" s="14" customFormat="1" ht="18" customHeight="1">
      <c r="A748" s="53" t="s">
        <v>1292</v>
      </c>
      <c r="B748" s="68" t="s">
        <v>120</v>
      </c>
      <c r="C748" s="88" t="s">
        <v>254</v>
      </c>
      <c r="D748" s="53" t="s">
        <v>1043</v>
      </c>
      <c r="E748" s="53" t="s">
        <v>135</v>
      </c>
      <c r="F748" s="55">
        <f>12.6+30.2</f>
        <v>42.8</v>
      </c>
      <c r="G748" s="55">
        <v>0</v>
      </c>
      <c r="H748" s="55">
        <v>0</v>
      </c>
      <c r="I748" s="21"/>
      <c r="J748" s="21"/>
      <c r="K748" s="21"/>
      <c r="O748" s="21"/>
      <c r="P748" s="107">
        <v>30.2</v>
      </c>
    </row>
    <row r="749" spans="1:16" s="14" customFormat="1" ht="27" customHeight="1">
      <c r="A749" s="53" t="s">
        <v>1293</v>
      </c>
      <c r="B749" s="68" t="s">
        <v>120</v>
      </c>
      <c r="C749" s="88" t="s">
        <v>254</v>
      </c>
      <c r="D749" s="53" t="s">
        <v>123</v>
      </c>
      <c r="E749" s="53" t="s">
        <v>135</v>
      </c>
      <c r="F749" s="48">
        <f>327.4+98.2+302.8</f>
        <v>728.4</v>
      </c>
      <c r="G749" s="48">
        <v>150</v>
      </c>
      <c r="H749" s="48">
        <v>150</v>
      </c>
      <c r="I749" s="21"/>
      <c r="J749" s="21"/>
      <c r="K749" s="21"/>
      <c r="O749" s="21"/>
      <c r="P749" s="107">
        <v>302.8</v>
      </c>
    </row>
    <row r="750" spans="1:16" s="14" customFormat="1" ht="69.75" customHeight="1">
      <c r="A750" s="53" t="s">
        <v>1294</v>
      </c>
      <c r="B750" s="68" t="s">
        <v>462</v>
      </c>
      <c r="C750" s="88" t="s">
        <v>461</v>
      </c>
      <c r="D750" s="53"/>
      <c r="E750" s="53"/>
      <c r="F750" s="48">
        <f>SUM(F751+F753)</f>
        <v>1000.3</v>
      </c>
      <c r="G750" s="48">
        <f>SUM(G751+G753)</f>
        <v>925.3</v>
      </c>
      <c r="H750" s="48">
        <f>SUM(H751+H753)</f>
        <v>925.3</v>
      </c>
      <c r="I750" s="21"/>
      <c r="J750" s="21"/>
      <c r="K750" s="21"/>
      <c r="O750" s="21"/>
      <c r="P750" s="108"/>
    </row>
    <row r="751" spans="1:16" s="14" customFormat="1" ht="54.75" customHeight="1">
      <c r="A751" s="53" t="s">
        <v>1295</v>
      </c>
      <c r="B751" s="68" t="s">
        <v>46</v>
      </c>
      <c r="C751" s="88" t="s">
        <v>461</v>
      </c>
      <c r="D751" s="53" t="s">
        <v>44</v>
      </c>
      <c r="E751" s="53" t="s">
        <v>420</v>
      </c>
      <c r="F751" s="48">
        <f>SUM(F752)</f>
        <v>926.9</v>
      </c>
      <c r="G751" s="48">
        <f>SUM(G752)</f>
        <v>851.9</v>
      </c>
      <c r="H751" s="48">
        <f>SUM(H752)</f>
        <v>851.9</v>
      </c>
      <c r="I751" s="21"/>
      <c r="J751" s="21"/>
      <c r="K751" s="21"/>
      <c r="O751" s="21"/>
      <c r="P751" s="108"/>
    </row>
    <row r="752" spans="1:16" s="14" customFormat="1" ht="25.5">
      <c r="A752" s="53" t="s">
        <v>1296</v>
      </c>
      <c r="B752" s="68" t="s">
        <v>202</v>
      </c>
      <c r="C752" s="88" t="s">
        <v>461</v>
      </c>
      <c r="D752" s="53" t="s">
        <v>45</v>
      </c>
      <c r="E752" s="53" t="s">
        <v>638</v>
      </c>
      <c r="F752" s="48">
        <f>851.9+75</f>
        <v>926.9</v>
      </c>
      <c r="G752" s="48">
        <v>851.9</v>
      </c>
      <c r="H752" s="48">
        <v>851.9</v>
      </c>
      <c r="I752" s="21"/>
      <c r="J752" s="21"/>
      <c r="K752" s="21"/>
      <c r="O752" s="20"/>
      <c r="P752" s="107">
        <v>75</v>
      </c>
    </row>
    <row r="753" spans="1:16" s="14" customFormat="1" ht="31.5" customHeight="1">
      <c r="A753" s="53" t="s">
        <v>1297</v>
      </c>
      <c r="B753" s="52" t="s">
        <v>16</v>
      </c>
      <c r="C753" s="88" t="s">
        <v>461</v>
      </c>
      <c r="D753" s="53" t="s">
        <v>11</v>
      </c>
      <c r="E753" s="53" t="s">
        <v>420</v>
      </c>
      <c r="F753" s="55">
        <f>SUM(F754)</f>
        <v>73.4</v>
      </c>
      <c r="G753" s="55">
        <f>G754</f>
        <v>73.4</v>
      </c>
      <c r="H753" s="55">
        <f>H754</f>
        <v>73.4</v>
      </c>
      <c r="I753" s="21"/>
      <c r="J753" s="21"/>
      <c r="K753" s="21"/>
      <c r="O753" s="21"/>
      <c r="P753" s="108"/>
    </row>
    <row r="754" spans="1:16" s="14" customFormat="1" ht="29.25" customHeight="1">
      <c r="A754" s="53" t="s">
        <v>1298</v>
      </c>
      <c r="B754" s="52" t="s">
        <v>17</v>
      </c>
      <c r="C754" s="88" t="s">
        <v>461</v>
      </c>
      <c r="D754" s="53" t="s">
        <v>7</v>
      </c>
      <c r="E754" s="53" t="s">
        <v>638</v>
      </c>
      <c r="F754" s="48">
        <v>73.4</v>
      </c>
      <c r="G754" s="48">
        <v>73.4</v>
      </c>
      <c r="H754" s="48">
        <v>73.4</v>
      </c>
      <c r="I754" s="21"/>
      <c r="J754" s="21"/>
      <c r="K754" s="21">
        <v>3</v>
      </c>
      <c r="L754" s="14">
        <v>-0.1</v>
      </c>
      <c r="M754" s="42">
        <v>-0.7</v>
      </c>
      <c r="O754" s="21"/>
      <c r="P754" s="108"/>
    </row>
    <row r="755" spans="1:16" s="14" customFormat="1" ht="65.25" customHeight="1">
      <c r="A755" s="53" t="s">
        <v>1299</v>
      </c>
      <c r="B755" s="69" t="s">
        <v>1078</v>
      </c>
      <c r="C755" s="88" t="s">
        <v>1077</v>
      </c>
      <c r="D755" s="53"/>
      <c r="E755" s="53"/>
      <c r="F755" s="48">
        <f>SUM(F756+F758)</f>
        <v>2192</v>
      </c>
      <c r="G755" s="48">
        <f>SUM(G756)</f>
        <v>0</v>
      </c>
      <c r="H755" s="48">
        <f>SUM(H756)</f>
        <v>0</v>
      </c>
      <c r="I755" s="21"/>
      <c r="J755" s="21"/>
      <c r="K755" s="21"/>
      <c r="M755" s="42"/>
      <c r="O755" s="21"/>
      <c r="P755" s="108"/>
    </row>
    <row r="756" spans="1:16" s="14" customFormat="1" ht="63" customHeight="1">
      <c r="A756" s="53" t="s">
        <v>1300</v>
      </c>
      <c r="B756" s="68" t="s">
        <v>46</v>
      </c>
      <c r="C756" s="88" t="s">
        <v>1077</v>
      </c>
      <c r="D756" s="53" t="s">
        <v>44</v>
      </c>
      <c r="E756" s="53" t="s">
        <v>420</v>
      </c>
      <c r="F756" s="48">
        <f>SUM(F757)</f>
        <v>75</v>
      </c>
      <c r="G756" s="48">
        <f>SUM(G757)</f>
        <v>0</v>
      </c>
      <c r="H756" s="48">
        <f>SUM(H757)</f>
        <v>0</v>
      </c>
      <c r="I756" s="21"/>
      <c r="J756" s="21"/>
      <c r="K756" s="21"/>
      <c r="M756" s="42"/>
      <c r="O756" s="21"/>
      <c r="P756" s="108"/>
    </row>
    <row r="757" spans="1:16" s="14" customFormat="1" ht="29.25" customHeight="1">
      <c r="A757" s="53" t="s">
        <v>1301</v>
      </c>
      <c r="B757" s="68" t="s">
        <v>202</v>
      </c>
      <c r="C757" s="88" t="s">
        <v>1077</v>
      </c>
      <c r="D757" s="53" t="s">
        <v>45</v>
      </c>
      <c r="E757" s="53" t="s">
        <v>114</v>
      </c>
      <c r="F757" s="48">
        <v>75</v>
      </c>
      <c r="G757" s="48">
        <v>0</v>
      </c>
      <c r="H757" s="48">
        <v>0</v>
      </c>
      <c r="I757" s="21"/>
      <c r="J757" s="21"/>
      <c r="K757" s="21"/>
      <c r="M757" s="42"/>
      <c r="O757" s="21"/>
      <c r="P757" s="107">
        <v>75</v>
      </c>
    </row>
    <row r="758" spans="1:16" s="14" customFormat="1" ht="54.75" customHeight="1">
      <c r="A758" s="53" t="s">
        <v>1302</v>
      </c>
      <c r="B758" s="68" t="s">
        <v>46</v>
      </c>
      <c r="C758" s="88" t="s">
        <v>1077</v>
      </c>
      <c r="D758" s="53" t="s">
        <v>44</v>
      </c>
      <c r="E758" s="53" t="s">
        <v>420</v>
      </c>
      <c r="F758" s="48">
        <f>SUM(F759)</f>
        <v>2117</v>
      </c>
      <c r="G758" s="48">
        <f>SUM(G759)</f>
        <v>0</v>
      </c>
      <c r="H758" s="48">
        <f>SUM(H759)</f>
        <v>0</v>
      </c>
      <c r="I758" s="21"/>
      <c r="J758" s="21"/>
      <c r="K758" s="21"/>
      <c r="M758" s="42"/>
      <c r="O758" s="21"/>
      <c r="P758" s="99"/>
    </row>
    <row r="759" spans="1:16" s="14" customFormat="1" ht="29.25" customHeight="1">
      <c r="A759" s="53" t="s">
        <v>1303</v>
      </c>
      <c r="B759" s="68" t="s">
        <v>202</v>
      </c>
      <c r="C759" s="88" t="s">
        <v>1077</v>
      </c>
      <c r="D759" s="53" t="s">
        <v>45</v>
      </c>
      <c r="E759" s="53" t="s">
        <v>135</v>
      </c>
      <c r="F759" s="48">
        <v>2117</v>
      </c>
      <c r="G759" s="48">
        <v>0</v>
      </c>
      <c r="H759" s="48">
        <v>0</v>
      </c>
      <c r="I759" s="21"/>
      <c r="J759" s="21"/>
      <c r="K759" s="21"/>
      <c r="M759" s="42"/>
      <c r="O759" s="21"/>
      <c r="P759" s="107">
        <v>2117</v>
      </c>
    </row>
    <row r="760" spans="1:16" s="14" customFormat="1" ht="68.25" customHeight="1">
      <c r="A760" s="53" t="s">
        <v>1304</v>
      </c>
      <c r="B760" s="52" t="s">
        <v>537</v>
      </c>
      <c r="C760" s="88" t="s">
        <v>362</v>
      </c>
      <c r="D760" s="53"/>
      <c r="E760" s="53"/>
      <c r="F760" s="48">
        <f aca="true" t="shared" si="94" ref="F760:H761">SUM(F761)</f>
        <v>0</v>
      </c>
      <c r="G760" s="48">
        <f t="shared" si="94"/>
        <v>0.5</v>
      </c>
      <c r="H760" s="48">
        <f t="shared" si="94"/>
        <v>0</v>
      </c>
      <c r="I760" s="21"/>
      <c r="J760" s="21"/>
      <c r="K760" s="21"/>
      <c r="O760" s="21"/>
      <c r="P760" s="108"/>
    </row>
    <row r="761" spans="1:16" s="7" customFormat="1" ht="31.5" customHeight="1">
      <c r="A761" s="53" t="s">
        <v>1305</v>
      </c>
      <c r="B761" s="52" t="s">
        <v>16</v>
      </c>
      <c r="C761" s="88" t="s">
        <v>362</v>
      </c>
      <c r="D761" s="53" t="s">
        <v>11</v>
      </c>
      <c r="E761" s="53" t="s">
        <v>420</v>
      </c>
      <c r="F761" s="48">
        <f t="shared" si="94"/>
        <v>0</v>
      </c>
      <c r="G761" s="48">
        <f t="shared" si="94"/>
        <v>0.5</v>
      </c>
      <c r="H761" s="48">
        <f t="shared" si="94"/>
        <v>0</v>
      </c>
      <c r="I761" s="22"/>
      <c r="J761" s="22"/>
      <c r="K761" s="22"/>
      <c r="O761" s="22"/>
      <c r="P761" s="105"/>
    </row>
    <row r="762" spans="1:16" s="16" customFormat="1" ht="32.25" customHeight="1">
      <c r="A762" s="53" t="s">
        <v>1306</v>
      </c>
      <c r="B762" s="52" t="s">
        <v>17</v>
      </c>
      <c r="C762" s="88" t="s">
        <v>362</v>
      </c>
      <c r="D762" s="53" t="s">
        <v>7</v>
      </c>
      <c r="E762" s="53" t="s">
        <v>363</v>
      </c>
      <c r="F762" s="48">
        <f>0.6-0.6</f>
        <v>0</v>
      </c>
      <c r="G762" s="48">
        <v>0.5</v>
      </c>
      <c r="H762" s="48">
        <v>0</v>
      </c>
      <c r="I762" s="22"/>
      <c r="J762" s="22"/>
      <c r="K762" s="22">
        <v>-1.8</v>
      </c>
      <c r="O762" s="22"/>
      <c r="P762" s="107">
        <v>-0.6</v>
      </c>
    </row>
    <row r="763" spans="1:16" s="15" customFormat="1" ht="66" customHeight="1">
      <c r="A763" s="53" t="s">
        <v>1307</v>
      </c>
      <c r="B763" s="68" t="s">
        <v>387</v>
      </c>
      <c r="C763" s="88" t="s">
        <v>256</v>
      </c>
      <c r="D763" s="53"/>
      <c r="E763" s="53"/>
      <c r="F763" s="48">
        <f>F764+F766</f>
        <v>48.2</v>
      </c>
      <c r="G763" s="48">
        <f>G764+G766</f>
        <v>44.5</v>
      </c>
      <c r="H763" s="48">
        <f>H764+H766</f>
        <v>44.5</v>
      </c>
      <c r="I763" s="18"/>
      <c r="J763" s="18"/>
      <c r="K763" s="18"/>
      <c r="O763" s="18"/>
      <c r="P763" s="101"/>
    </row>
    <row r="764" spans="1:16" s="15" customFormat="1" ht="60.75" customHeight="1">
      <c r="A764" s="53" t="s">
        <v>1308</v>
      </c>
      <c r="B764" s="68" t="s">
        <v>46</v>
      </c>
      <c r="C764" s="88" t="s">
        <v>256</v>
      </c>
      <c r="D764" s="53" t="s">
        <v>44</v>
      </c>
      <c r="E764" s="53" t="s">
        <v>420</v>
      </c>
      <c r="F764" s="48">
        <f>F765</f>
        <v>46.300000000000004</v>
      </c>
      <c r="G764" s="48">
        <f>G765</f>
        <v>42.6</v>
      </c>
      <c r="H764" s="48">
        <f>H765</f>
        <v>42.6</v>
      </c>
      <c r="I764" s="18"/>
      <c r="J764" s="18"/>
      <c r="K764" s="18">
        <v>1.8</v>
      </c>
      <c r="O764" s="18"/>
      <c r="P764" s="101"/>
    </row>
    <row r="765" spans="1:16" s="15" customFormat="1" ht="33.75" customHeight="1">
      <c r="A765" s="53" t="s">
        <v>1309</v>
      </c>
      <c r="B765" s="68" t="s">
        <v>130</v>
      </c>
      <c r="C765" s="88" t="s">
        <v>256</v>
      </c>
      <c r="D765" s="53" t="s">
        <v>45</v>
      </c>
      <c r="E765" s="53" t="s">
        <v>129</v>
      </c>
      <c r="F765" s="48">
        <f>42.6+3.7</f>
        <v>46.300000000000004</v>
      </c>
      <c r="G765" s="48">
        <v>42.6</v>
      </c>
      <c r="H765" s="48">
        <v>42.6</v>
      </c>
      <c r="I765" s="18"/>
      <c r="J765" s="18"/>
      <c r="K765" s="18"/>
      <c r="O765" s="18"/>
      <c r="P765" s="106">
        <v>3.7</v>
      </c>
    </row>
    <row r="766" spans="1:16" s="15" customFormat="1" ht="28.5" customHeight="1">
      <c r="A766" s="53" t="s">
        <v>1310</v>
      </c>
      <c r="B766" s="52" t="s">
        <v>16</v>
      </c>
      <c r="C766" s="88" t="s">
        <v>256</v>
      </c>
      <c r="D766" s="53" t="s">
        <v>11</v>
      </c>
      <c r="E766" s="53" t="s">
        <v>420</v>
      </c>
      <c r="F766" s="48">
        <f>F767</f>
        <v>1.9</v>
      </c>
      <c r="G766" s="48">
        <f>G767</f>
        <v>1.9</v>
      </c>
      <c r="H766" s="48">
        <f>H767</f>
        <v>1.9</v>
      </c>
      <c r="I766" s="18"/>
      <c r="J766" s="18"/>
      <c r="K766" s="18"/>
      <c r="O766" s="18"/>
      <c r="P766" s="101"/>
    </row>
    <row r="767" spans="1:16" s="15" customFormat="1" ht="39.75" customHeight="1">
      <c r="A767" s="53" t="s">
        <v>1311</v>
      </c>
      <c r="B767" s="52" t="s">
        <v>17</v>
      </c>
      <c r="C767" s="88" t="s">
        <v>256</v>
      </c>
      <c r="D767" s="53" t="s">
        <v>7</v>
      </c>
      <c r="E767" s="53" t="s">
        <v>129</v>
      </c>
      <c r="F767" s="48">
        <v>1.9</v>
      </c>
      <c r="G767" s="48">
        <v>1.9</v>
      </c>
      <c r="H767" s="48">
        <v>1.9</v>
      </c>
      <c r="I767" s="18"/>
      <c r="J767" s="18"/>
      <c r="K767" s="18"/>
      <c r="O767" s="18"/>
      <c r="P767" s="101"/>
    </row>
    <row r="768" spans="1:16" s="15" customFormat="1" ht="63" customHeight="1">
      <c r="A768" s="53" t="s">
        <v>1312</v>
      </c>
      <c r="B768" s="52" t="s">
        <v>388</v>
      </c>
      <c r="C768" s="88" t="s">
        <v>257</v>
      </c>
      <c r="D768" s="53"/>
      <c r="E768" s="53"/>
      <c r="F768" s="48">
        <f>SUM(F769+F771)</f>
        <v>994.6999999999999</v>
      </c>
      <c r="G768" s="48">
        <f>SUM(G769+G771)</f>
        <v>919.6999999999999</v>
      </c>
      <c r="H768" s="48">
        <f>SUM(H769+H771)</f>
        <v>919.6999999999999</v>
      </c>
      <c r="I768" s="18"/>
      <c r="J768" s="18"/>
      <c r="K768" s="18"/>
      <c r="O768" s="18"/>
      <c r="P768" s="101"/>
    </row>
    <row r="769" spans="1:16" s="15" customFormat="1" ht="55.5" customHeight="1">
      <c r="A769" s="53" t="s">
        <v>1313</v>
      </c>
      <c r="B769" s="68" t="s">
        <v>46</v>
      </c>
      <c r="C769" s="88" t="s">
        <v>257</v>
      </c>
      <c r="D769" s="53" t="s">
        <v>44</v>
      </c>
      <c r="E769" s="53" t="s">
        <v>420</v>
      </c>
      <c r="F769" s="48">
        <f>SUM(F770)</f>
        <v>932.9</v>
      </c>
      <c r="G769" s="48">
        <f>SUM(G770)</f>
        <v>857.9</v>
      </c>
      <c r="H769" s="48">
        <f>SUM(H770)</f>
        <v>857.9</v>
      </c>
      <c r="I769" s="18"/>
      <c r="J769" s="18"/>
      <c r="K769" s="18"/>
      <c r="O769" s="18"/>
      <c r="P769" s="101"/>
    </row>
    <row r="770" spans="1:16" s="15" customFormat="1" ht="33" customHeight="1">
      <c r="A770" s="53" t="s">
        <v>1314</v>
      </c>
      <c r="B770" s="68" t="s">
        <v>202</v>
      </c>
      <c r="C770" s="88" t="s">
        <v>257</v>
      </c>
      <c r="D770" s="53" t="s">
        <v>45</v>
      </c>
      <c r="E770" s="53" t="s">
        <v>129</v>
      </c>
      <c r="F770" s="48">
        <f>857.9+75</f>
        <v>932.9</v>
      </c>
      <c r="G770" s="48">
        <v>857.9</v>
      </c>
      <c r="H770" s="48">
        <v>857.9</v>
      </c>
      <c r="I770" s="18"/>
      <c r="J770" s="18"/>
      <c r="K770" s="18"/>
      <c r="O770" s="18"/>
      <c r="P770" s="106">
        <v>75</v>
      </c>
    </row>
    <row r="771" spans="1:16" s="15" customFormat="1" ht="34.5" customHeight="1">
      <c r="A771" s="53" t="s">
        <v>1315</v>
      </c>
      <c r="B771" s="52" t="s">
        <v>16</v>
      </c>
      <c r="C771" s="88" t="s">
        <v>257</v>
      </c>
      <c r="D771" s="53" t="s">
        <v>11</v>
      </c>
      <c r="E771" s="53" t="s">
        <v>420</v>
      </c>
      <c r="F771" s="48">
        <f>SUM(F772)</f>
        <v>61.8</v>
      </c>
      <c r="G771" s="48">
        <f>SUM(G772)</f>
        <v>61.8</v>
      </c>
      <c r="H771" s="48">
        <f>SUM(H772)</f>
        <v>61.8</v>
      </c>
      <c r="I771" s="24"/>
      <c r="J771" s="24"/>
      <c r="K771" s="18"/>
      <c r="O771" s="18"/>
      <c r="P771" s="101"/>
    </row>
    <row r="772" spans="1:16" s="15" customFormat="1" ht="30.75" customHeight="1">
      <c r="A772" s="53" t="s">
        <v>1316</v>
      </c>
      <c r="B772" s="52" t="s">
        <v>17</v>
      </c>
      <c r="C772" s="88" t="s">
        <v>257</v>
      </c>
      <c r="D772" s="53" t="s">
        <v>7</v>
      </c>
      <c r="E772" s="53" t="s">
        <v>129</v>
      </c>
      <c r="F772" s="48">
        <v>61.8</v>
      </c>
      <c r="G772" s="48">
        <v>61.8</v>
      </c>
      <c r="H772" s="48">
        <v>61.8</v>
      </c>
      <c r="I772" s="24"/>
      <c r="J772" s="24"/>
      <c r="K772" s="18"/>
      <c r="O772" s="18"/>
      <c r="P772" s="101"/>
    </row>
    <row r="773" spans="1:16" s="3" customFormat="1" ht="33" customHeight="1">
      <c r="A773" s="53" t="s">
        <v>1317</v>
      </c>
      <c r="B773" s="71" t="s">
        <v>143</v>
      </c>
      <c r="C773" s="87" t="s">
        <v>258</v>
      </c>
      <c r="D773" s="65"/>
      <c r="E773" s="65"/>
      <c r="F773" s="56">
        <f>F774+F777+F780</f>
        <v>1843.8999999999999</v>
      </c>
      <c r="G773" s="56">
        <f>G774+G777+G780</f>
        <v>1517.1999999999998</v>
      </c>
      <c r="H773" s="56">
        <f>H774+H777+H780</f>
        <v>43.6</v>
      </c>
      <c r="I773" s="23"/>
      <c r="J773" s="24"/>
      <c r="K773" s="23">
        <v>90.5</v>
      </c>
      <c r="L773" s="3">
        <v>84.6</v>
      </c>
      <c r="O773" s="18"/>
      <c r="P773" s="101"/>
    </row>
    <row r="774" spans="1:16" s="3" customFormat="1" ht="56.25" customHeight="1">
      <c r="A774" s="53" t="s">
        <v>1318</v>
      </c>
      <c r="B774" s="69" t="s">
        <v>147</v>
      </c>
      <c r="C774" s="88" t="s">
        <v>260</v>
      </c>
      <c r="D774" s="53"/>
      <c r="E774" s="53"/>
      <c r="F774" s="55">
        <f aca="true" t="shared" si="95" ref="F774:H775">F775</f>
        <v>1642.3</v>
      </c>
      <c r="G774" s="55">
        <f t="shared" si="95"/>
        <v>1473.6</v>
      </c>
      <c r="H774" s="55">
        <f t="shared" si="95"/>
        <v>0</v>
      </c>
      <c r="I774" s="24"/>
      <c r="J774" s="24"/>
      <c r="K774" s="18"/>
      <c r="O774" s="18"/>
      <c r="P774" s="101"/>
    </row>
    <row r="775" spans="1:16" s="3" customFormat="1" ht="13.5" customHeight="1">
      <c r="A775" s="53" t="s">
        <v>1319</v>
      </c>
      <c r="B775" s="68" t="s">
        <v>14</v>
      </c>
      <c r="C775" s="88" t="s">
        <v>260</v>
      </c>
      <c r="D775" s="53" t="s">
        <v>19</v>
      </c>
      <c r="E775" s="53" t="s">
        <v>425</v>
      </c>
      <c r="F775" s="55">
        <f>F776</f>
        <v>1642.3</v>
      </c>
      <c r="G775" s="55">
        <f t="shared" si="95"/>
        <v>1473.6</v>
      </c>
      <c r="H775" s="55">
        <f>H776</f>
        <v>0</v>
      </c>
      <c r="I775" s="24"/>
      <c r="J775" s="24"/>
      <c r="K775" s="18"/>
      <c r="O775" s="18"/>
      <c r="P775" s="101"/>
    </row>
    <row r="776" spans="1:16" s="5" customFormat="1" ht="15.75" customHeight="1">
      <c r="A776" s="53" t="s">
        <v>1320</v>
      </c>
      <c r="B776" s="68" t="s">
        <v>145</v>
      </c>
      <c r="C776" s="88" t="s">
        <v>260</v>
      </c>
      <c r="D776" s="53" t="s">
        <v>146</v>
      </c>
      <c r="E776" s="53" t="s">
        <v>148</v>
      </c>
      <c r="F776" s="48">
        <f>1417.2+225.1</f>
        <v>1642.3</v>
      </c>
      <c r="G776" s="48">
        <v>1473.6</v>
      </c>
      <c r="H776" s="48">
        <v>0</v>
      </c>
      <c r="I776" s="30"/>
      <c r="J776" s="30"/>
      <c r="K776" s="21"/>
      <c r="M776" s="42">
        <v>4</v>
      </c>
      <c r="O776" s="20"/>
      <c r="P776" s="107">
        <v>225.1</v>
      </c>
    </row>
    <row r="777" spans="1:16" s="4" customFormat="1" ht="63.75">
      <c r="A777" s="53" t="s">
        <v>1321</v>
      </c>
      <c r="B777" s="69" t="s">
        <v>144</v>
      </c>
      <c r="C777" s="88" t="s">
        <v>259</v>
      </c>
      <c r="D777" s="53"/>
      <c r="E777" s="53"/>
      <c r="F777" s="55">
        <f aca="true" t="shared" si="96" ref="F777:H778">F778</f>
        <v>49.5</v>
      </c>
      <c r="G777" s="55">
        <f t="shared" si="96"/>
        <v>43.6</v>
      </c>
      <c r="H777" s="55">
        <f t="shared" si="96"/>
        <v>43.6</v>
      </c>
      <c r="I777" s="31"/>
      <c r="J777" s="31"/>
      <c r="K777" s="22"/>
      <c r="O777" s="22"/>
      <c r="P777" s="105"/>
    </row>
    <row r="778" spans="1:16" ht="15.75" customHeight="1">
      <c r="A778" s="53" t="s">
        <v>1322</v>
      </c>
      <c r="B778" s="68" t="s">
        <v>14</v>
      </c>
      <c r="C778" s="88" t="s">
        <v>259</v>
      </c>
      <c r="D778" s="53" t="s">
        <v>19</v>
      </c>
      <c r="E778" s="53" t="s">
        <v>420</v>
      </c>
      <c r="F778" s="55">
        <f t="shared" si="96"/>
        <v>49.5</v>
      </c>
      <c r="G778" s="55">
        <f t="shared" si="96"/>
        <v>43.6</v>
      </c>
      <c r="H778" s="55">
        <f t="shared" si="96"/>
        <v>43.6</v>
      </c>
      <c r="I778" s="32"/>
      <c r="J778" s="32"/>
      <c r="K778" s="25"/>
      <c r="O778" s="25"/>
      <c r="P778" s="100"/>
    </row>
    <row r="779" spans="1:16" ht="15" customHeight="1">
      <c r="A779" s="53" t="s">
        <v>1323</v>
      </c>
      <c r="B779" s="68" t="s">
        <v>145</v>
      </c>
      <c r="C779" s="88" t="s">
        <v>259</v>
      </c>
      <c r="D779" s="53" t="s">
        <v>146</v>
      </c>
      <c r="E779" s="53" t="s">
        <v>129</v>
      </c>
      <c r="F779" s="48">
        <f>43.6+5.9</f>
        <v>49.5</v>
      </c>
      <c r="G779" s="48">
        <v>43.6</v>
      </c>
      <c r="H779" s="48">
        <v>43.6</v>
      </c>
      <c r="I779" s="32"/>
      <c r="J779" s="32"/>
      <c r="K779" s="25"/>
      <c r="O779" s="25"/>
      <c r="P779" s="110">
        <v>5.9</v>
      </c>
    </row>
    <row r="780" spans="1:16" ht="62.25" customHeight="1">
      <c r="A780" s="53" t="s">
        <v>1324</v>
      </c>
      <c r="B780" s="52" t="s">
        <v>841</v>
      </c>
      <c r="C780" s="88" t="s">
        <v>261</v>
      </c>
      <c r="D780" s="53"/>
      <c r="E780" s="53"/>
      <c r="F780" s="55">
        <f aca="true" t="shared" si="97" ref="F780:H781">F781</f>
        <v>152.1</v>
      </c>
      <c r="G780" s="55">
        <f t="shared" si="97"/>
        <v>0</v>
      </c>
      <c r="H780" s="55">
        <f t="shared" si="97"/>
        <v>0</v>
      </c>
      <c r="I780" s="32"/>
      <c r="J780" s="32"/>
      <c r="K780" s="25"/>
      <c r="L780" s="2">
        <v>303.8</v>
      </c>
      <c r="O780" s="25"/>
      <c r="P780" s="100"/>
    </row>
    <row r="781" spans="1:16" ht="17.25" customHeight="1">
      <c r="A781" s="53" t="s">
        <v>1325</v>
      </c>
      <c r="B781" s="68" t="s">
        <v>14</v>
      </c>
      <c r="C781" s="88" t="s">
        <v>261</v>
      </c>
      <c r="D781" s="53" t="s">
        <v>19</v>
      </c>
      <c r="E781" s="53" t="s">
        <v>426</v>
      </c>
      <c r="F781" s="55">
        <f t="shared" si="97"/>
        <v>152.1</v>
      </c>
      <c r="G781" s="55">
        <f t="shared" si="97"/>
        <v>0</v>
      </c>
      <c r="H781" s="55">
        <f t="shared" si="97"/>
        <v>0</v>
      </c>
      <c r="I781" s="32"/>
      <c r="J781" s="32"/>
      <c r="K781" s="25"/>
      <c r="O781" s="25"/>
      <c r="P781" s="100"/>
    </row>
    <row r="782" spans="1:16" ht="15.75" customHeight="1">
      <c r="A782" s="53" t="s">
        <v>1326</v>
      </c>
      <c r="B782" s="68" t="s">
        <v>15</v>
      </c>
      <c r="C782" s="88" t="s">
        <v>261</v>
      </c>
      <c r="D782" s="53" t="s">
        <v>18</v>
      </c>
      <c r="E782" s="53" t="s">
        <v>181</v>
      </c>
      <c r="F782" s="48">
        <v>152.1</v>
      </c>
      <c r="G782" s="48">
        <v>0</v>
      </c>
      <c r="H782" s="48">
        <v>0</v>
      </c>
      <c r="I782" s="32"/>
      <c r="J782" s="32"/>
      <c r="K782" s="25"/>
      <c r="O782" s="25"/>
      <c r="P782" s="110">
        <v>152.1</v>
      </c>
    </row>
    <row r="783" spans="1:16" ht="18" customHeight="1">
      <c r="A783" s="53" t="s">
        <v>1327</v>
      </c>
      <c r="B783" s="83" t="s">
        <v>265</v>
      </c>
      <c r="C783" s="86" t="s">
        <v>262</v>
      </c>
      <c r="D783" s="63"/>
      <c r="E783" s="63"/>
      <c r="F783" s="66">
        <f aca="true" t="shared" si="98" ref="F783:H784">SUM(F784)</f>
        <v>3127.9999999999995</v>
      </c>
      <c r="G783" s="66">
        <f t="shared" si="98"/>
        <v>2802.9999999999995</v>
      </c>
      <c r="H783" s="66">
        <f t="shared" si="98"/>
        <v>2802.9999999999995</v>
      </c>
      <c r="I783" s="32"/>
      <c r="J783" s="32"/>
      <c r="K783" s="25"/>
      <c r="O783" s="25"/>
      <c r="P783" s="100"/>
    </row>
    <row r="784" spans="1:16" ht="30.75" customHeight="1">
      <c r="A784" s="53" t="s">
        <v>1328</v>
      </c>
      <c r="B784" s="81" t="s">
        <v>266</v>
      </c>
      <c r="C784" s="87" t="s">
        <v>263</v>
      </c>
      <c r="D784" s="65"/>
      <c r="E784" s="65"/>
      <c r="F784" s="57">
        <f>SUM(F785+F792)</f>
        <v>3127.9999999999995</v>
      </c>
      <c r="G784" s="57">
        <f t="shared" si="98"/>
        <v>2802.9999999999995</v>
      </c>
      <c r="H784" s="57">
        <f t="shared" si="98"/>
        <v>2802.9999999999995</v>
      </c>
      <c r="I784" s="23"/>
      <c r="J784" s="32"/>
      <c r="K784" s="25"/>
      <c r="O784" s="25"/>
      <c r="P784" s="100"/>
    </row>
    <row r="785" spans="1:16" ht="45" customHeight="1">
      <c r="A785" s="53" t="s">
        <v>1329</v>
      </c>
      <c r="B785" s="69" t="s">
        <v>267</v>
      </c>
      <c r="C785" s="88" t="s">
        <v>264</v>
      </c>
      <c r="D785" s="53"/>
      <c r="E785" s="53"/>
      <c r="F785" s="48">
        <f>SUM(F786+F788+F790)</f>
        <v>2902.9999999999995</v>
      </c>
      <c r="G785" s="48">
        <f>SUM(G786+G788+G790)</f>
        <v>2802.9999999999995</v>
      </c>
      <c r="H785" s="48">
        <f>SUM(H786+H788+H790)</f>
        <v>2802.9999999999995</v>
      </c>
      <c r="I785" s="23"/>
      <c r="J785" s="32"/>
      <c r="K785" s="25"/>
      <c r="O785" s="25"/>
      <c r="P785" s="100"/>
    </row>
    <row r="786" spans="1:16" ht="56.25" customHeight="1">
      <c r="A786" s="53" t="s">
        <v>1330</v>
      </c>
      <c r="B786" s="68" t="s">
        <v>46</v>
      </c>
      <c r="C786" s="88" t="s">
        <v>264</v>
      </c>
      <c r="D786" s="53" t="s">
        <v>44</v>
      </c>
      <c r="E786" s="53" t="s">
        <v>420</v>
      </c>
      <c r="F786" s="48">
        <f>SUM(F787)</f>
        <v>2854.1</v>
      </c>
      <c r="G786" s="48">
        <f>SUM(G787)</f>
        <v>2754.1</v>
      </c>
      <c r="H786" s="48">
        <f>SUM(H787)</f>
        <v>2754.1</v>
      </c>
      <c r="I786" s="23"/>
      <c r="J786" s="32"/>
      <c r="K786" s="23">
        <v>-0.5</v>
      </c>
      <c r="M786" s="44">
        <v>85</v>
      </c>
      <c r="O786" s="25"/>
      <c r="P786" s="100"/>
    </row>
    <row r="787" spans="1:16" ht="30" customHeight="1">
      <c r="A787" s="53" t="s">
        <v>1331</v>
      </c>
      <c r="B787" s="68" t="s">
        <v>202</v>
      </c>
      <c r="C787" s="88" t="s">
        <v>264</v>
      </c>
      <c r="D787" s="53" t="s">
        <v>45</v>
      </c>
      <c r="E787" s="53" t="s">
        <v>43</v>
      </c>
      <c r="F787" s="48">
        <f>2754.1+100</f>
        <v>2854.1</v>
      </c>
      <c r="G787" s="48">
        <v>2754.1</v>
      </c>
      <c r="H787" s="48">
        <v>2754.1</v>
      </c>
      <c r="I787" s="33"/>
      <c r="J787" s="33"/>
      <c r="K787" s="34"/>
      <c r="O787" s="25"/>
      <c r="P787" s="110">
        <v>100</v>
      </c>
    </row>
    <row r="788" spans="1:16" ht="28.5" customHeight="1">
      <c r="A788" s="53" t="s">
        <v>1332</v>
      </c>
      <c r="B788" s="52" t="s">
        <v>16</v>
      </c>
      <c r="C788" s="88" t="s">
        <v>264</v>
      </c>
      <c r="D788" s="53" t="s">
        <v>11</v>
      </c>
      <c r="E788" s="53" t="s">
        <v>420</v>
      </c>
      <c r="F788" s="48">
        <f>SUM(F789)</f>
        <v>48.7</v>
      </c>
      <c r="G788" s="48">
        <f>SUM(G789)</f>
        <v>48.7</v>
      </c>
      <c r="H788" s="48">
        <f>SUM(H789)</f>
        <v>48.7</v>
      </c>
      <c r="I788" s="23"/>
      <c r="J788" s="32"/>
      <c r="K788" s="23">
        <v>0.5</v>
      </c>
      <c r="O788" s="25"/>
      <c r="P788" s="100"/>
    </row>
    <row r="789" spans="1:16" ht="32.25" customHeight="1">
      <c r="A789" s="53" t="s">
        <v>1333</v>
      </c>
      <c r="B789" s="52" t="s">
        <v>17</v>
      </c>
      <c r="C789" s="88" t="s">
        <v>264</v>
      </c>
      <c r="D789" s="53" t="s">
        <v>7</v>
      </c>
      <c r="E789" s="53" t="s">
        <v>43</v>
      </c>
      <c r="F789" s="48">
        <v>48.7</v>
      </c>
      <c r="G789" s="48">
        <v>48.7</v>
      </c>
      <c r="H789" s="48">
        <v>48.7</v>
      </c>
      <c r="I789" s="32"/>
      <c r="J789" s="32"/>
      <c r="K789" s="25"/>
      <c r="O789" s="25"/>
      <c r="P789" s="100"/>
    </row>
    <row r="790" spans="1:16" ht="19.5" customHeight="1">
      <c r="A790" s="53" t="s">
        <v>1334</v>
      </c>
      <c r="B790" s="68" t="s">
        <v>119</v>
      </c>
      <c r="C790" s="88" t="s">
        <v>264</v>
      </c>
      <c r="D790" s="53" t="s">
        <v>122</v>
      </c>
      <c r="E790" s="53" t="s">
        <v>420</v>
      </c>
      <c r="F790" s="55">
        <f>SUM(F791)</f>
        <v>0.2</v>
      </c>
      <c r="G790" s="55">
        <f>G791</f>
        <v>0.2</v>
      </c>
      <c r="H790" s="55">
        <f>H791</f>
        <v>0.2</v>
      </c>
      <c r="I790" s="25"/>
      <c r="J790" s="25"/>
      <c r="K790" s="25">
        <f>SUM(K9:K789)</f>
        <v>1546.9</v>
      </c>
      <c r="M790" s="2">
        <f>SUM(M9:M789)</f>
        <v>24442.100000000002</v>
      </c>
      <c r="O790" s="25"/>
      <c r="P790" s="100"/>
    </row>
    <row r="791" spans="1:16" ht="19.5" customHeight="1">
      <c r="A791" s="53" t="s">
        <v>1335</v>
      </c>
      <c r="B791" s="68" t="s">
        <v>120</v>
      </c>
      <c r="C791" s="88" t="s">
        <v>264</v>
      </c>
      <c r="D791" s="53" t="s">
        <v>123</v>
      </c>
      <c r="E791" s="53" t="s">
        <v>43</v>
      </c>
      <c r="F791" s="48">
        <v>0.2</v>
      </c>
      <c r="G791" s="48">
        <v>0.2</v>
      </c>
      <c r="H791" s="48">
        <v>0.2</v>
      </c>
      <c r="I791" s="25"/>
      <c r="O791" s="25"/>
      <c r="P791" s="100"/>
    </row>
    <row r="792" spans="1:16" ht="59.25" customHeight="1">
      <c r="A792" s="53" t="s">
        <v>1336</v>
      </c>
      <c r="B792" s="69" t="s">
        <v>1076</v>
      </c>
      <c r="C792" s="53" t="s">
        <v>1075</v>
      </c>
      <c r="D792" s="53"/>
      <c r="E792" s="53"/>
      <c r="F792" s="48">
        <f aca="true" t="shared" si="99" ref="F792:H793">SUM(F793)</f>
        <v>225</v>
      </c>
      <c r="G792" s="48">
        <f t="shared" si="99"/>
        <v>0</v>
      </c>
      <c r="H792" s="48">
        <f t="shared" si="99"/>
        <v>0</v>
      </c>
      <c r="I792" s="25"/>
      <c r="O792" s="25"/>
      <c r="P792" s="100"/>
    </row>
    <row r="793" spans="1:16" ht="58.5" customHeight="1">
      <c r="A793" s="53" t="s">
        <v>1337</v>
      </c>
      <c r="B793" s="68" t="s">
        <v>46</v>
      </c>
      <c r="C793" s="53" t="s">
        <v>1075</v>
      </c>
      <c r="D793" s="53" t="s">
        <v>44</v>
      </c>
      <c r="E793" s="53" t="s">
        <v>420</v>
      </c>
      <c r="F793" s="48">
        <f t="shared" si="99"/>
        <v>225</v>
      </c>
      <c r="G793" s="48">
        <f t="shared" si="99"/>
        <v>0</v>
      </c>
      <c r="H793" s="48">
        <f t="shared" si="99"/>
        <v>0</v>
      </c>
      <c r="I793" s="25"/>
      <c r="O793" s="25"/>
      <c r="P793" s="100"/>
    </row>
    <row r="794" spans="1:16" ht="29.25" customHeight="1">
      <c r="A794" s="53" t="s">
        <v>1338</v>
      </c>
      <c r="B794" s="68" t="s">
        <v>202</v>
      </c>
      <c r="C794" s="53" t="s">
        <v>1075</v>
      </c>
      <c r="D794" s="53" t="s">
        <v>45</v>
      </c>
      <c r="E794" s="53" t="s">
        <v>43</v>
      </c>
      <c r="F794" s="48">
        <v>225</v>
      </c>
      <c r="G794" s="48">
        <v>0</v>
      </c>
      <c r="H794" s="48">
        <v>0</v>
      </c>
      <c r="I794" s="25"/>
      <c r="O794" s="25"/>
      <c r="P794" s="110">
        <v>225</v>
      </c>
    </row>
    <row r="795" spans="1:16" ht="15.75" customHeight="1">
      <c r="A795" s="53" t="s">
        <v>1339</v>
      </c>
      <c r="B795" s="84" t="s">
        <v>171</v>
      </c>
      <c r="C795" s="84"/>
      <c r="D795" s="65"/>
      <c r="E795" s="65"/>
      <c r="F795" s="56">
        <v>0</v>
      </c>
      <c r="G795" s="56">
        <v>12460</v>
      </c>
      <c r="H795" s="56">
        <v>27018.2</v>
      </c>
      <c r="O795" s="25"/>
      <c r="P795" s="100"/>
    </row>
    <row r="796" spans="1:16" ht="18.75" customHeight="1">
      <c r="A796" s="53" t="s">
        <v>1340</v>
      </c>
      <c r="B796" s="90" t="s">
        <v>10</v>
      </c>
      <c r="C796" s="90"/>
      <c r="D796" s="63"/>
      <c r="E796" s="63"/>
      <c r="F796" s="64">
        <f>F9+F293+F359+F411+F522+F553+F593+F610+F619+F634+F678+F703+F721+F783+F795</f>
        <v>900390</v>
      </c>
      <c r="G796" s="64">
        <f>G9+G293+G359+G411+G522+G553+G593+G610+G619+G634+G678+G703+G721+G783+G795</f>
        <v>761551.2000000002</v>
      </c>
      <c r="H796" s="64">
        <f>H9+H293+H359+H411+H522+H553+H593+H610+H619+H634+H678+H703+H721+H783+H795</f>
        <v>792624.6000000001</v>
      </c>
      <c r="O796" s="25"/>
      <c r="P796" s="99">
        <f>SUM(P9:P795)</f>
        <v>109453.20000000001</v>
      </c>
    </row>
    <row r="797" spans="1:8" ht="12.75">
      <c r="A797" s="26"/>
      <c r="B797" s="27"/>
      <c r="C797" s="27"/>
      <c r="D797" s="26"/>
      <c r="E797" s="26"/>
      <c r="F797" s="28"/>
      <c r="G797" s="28"/>
      <c r="H797" s="28"/>
    </row>
  </sheetData>
  <sheetProtection/>
  <mergeCells count="4">
    <mergeCell ref="A4:H5"/>
    <mergeCell ref="F3:H3"/>
    <mergeCell ref="F2:H2"/>
    <mergeCell ref="F1:H1"/>
  </mergeCells>
  <printOptions/>
  <pageMargins left="1.1811023622047245" right="0.5905511811023623" top="0.7874015748031497" bottom="0.7874015748031497" header="0" footer="0"/>
  <pageSetup fitToHeight="0" fitToWidth="1" horizontalDpi="600" verticalDpi="600" orientation="portrait" paperSize="9" scale="61" r:id="rId3"/>
  <rowBreaks count="1" manualBreakCount="1">
    <brk id="698" max="1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R68"/>
  <sheetViews>
    <sheetView zoomScalePageLayoutView="0" workbookViewId="0" topLeftCell="A25">
      <selection activeCell="A69" sqref="A69"/>
    </sheetView>
  </sheetViews>
  <sheetFormatPr defaultColWidth="9.00390625" defaultRowHeight="12.75"/>
  <cols>
    <col min="1" max="1" width="12.25390625" style="0" customWidth="1"/>
    <col min="2" max="2" width="10.375" style="0" customWidth="1"/>
  </cols>
  <sheetData>
    <row r="1" spans="1:15" ht="12.75">
      <c r="A1" s="116" t="s">
        <v>856</v>
      </c>
      <c r="B1" s="116"/>
      <c r="C1" s="116"/>
      <c r="D1" s="116" t="s">
        <v>857</v>
      </c>
      <c r="E1" s="116"/>
      <c r="F1" s="116"/>
      <c r="G1" s="116" t="s">
        <v>858</v>
      </c>
      <c r="H1" s="116"/>
      <c r="I1" s="116"/>
      <c r="J1" s="115">
        <v>25</v>
      </c>
      <c r="K1" s="115"/>
      <c r="L1" s="115"/>
      <c r="M1" s="115">
        <v>29</v>
      </c>
      <c r="N1" s="115"/>
      <c r="O1" s="115"/>
    </row>
    <row r="2" spans="1:15" ht="12.75">
      <c r="A2">
        <v>2023</v>
      </c>
      <c r="B2">
        <v>2024</v>
      </c>
      <c r="C2">
        <v>2025</v>
      </c>
      <c r="D2">
        <v>2023</v>
      </c>
      <c r="E2">
        <v>2024</v>
      </c>
      <c r="F2">
        <v>2025</v>
      </c>
      <c r="G2">
        <v>2023</v>
      </c>
      <c r="H2">
        <v>2024</v>
      </c>
      <c r="I2">
        <v>2025</v>
      </c>
      <c r="J2">
        <v>2023</v>
      </c>
      <c r="K2">
        <v>2024</v>
      </c>
      <c r="L2">
        <v>2025</v>
      </c>
      <c r="M2">
        <v>2023</v>
      </c>
      <c r="N2">
        <v>2024</v>
      </c>
      <c r="O2">
        <v>2025</v>
      </c>
    </row>
    <row r="4" spans="1:12" ht="12.75">
      <c r="A4" s="59">
        <v>68616.2</v>
      </c>
      <c r="B4" s="59">
        <v>68616</v>
      </c>
      <c r="C4" s="59">
        <v>68616</v>
      </c>
      <c r="D4" s="59">
        <v>190</v>
      </c>
      <c r="E4" s="59">
        <v>190</v>
      </c>
      <c r="F4" s="59">
        <v>190</v>
      </c>
      <c r="G4" s="59">
        <v>13033.1</v>
      </c>
      <c r="H4" s="59">
        <v>8825.3</v>
      </c>
      <c r="I4" s="59">
        <v>8825.3</v>
      </c>
      <c r="J4" s="59">
        <v>11771.1</v>
      </c>
      <c r="K4" s="59">
        <v>11771.1</v>
      </c>
      <c r="L4" s="59">
        <v>11771.1</v>
      </c>
    </row>
    <row r="5" spans="1:9" ht="12.75">
      <c r="A5" s="59">
        <v>195059.4</v>
      </c>
      <c r="B5" s="59">
        <v>191629</v>
      </c>
      <c r="C5" s="59">
        <v>191629</v>
      </c>
      <c r="G5" s="59">
        <v>49.5</v>
      </c>
      <c r="H5" s="59">
        <v>49.5</v>
      </c>
      <c r="I5" s="59">
        <v>49.5</v>
      </c>
    </row>
    <row r="6" spans="1:9" ht="12.75">
      <c r="A6" s="59">
        <v>20570.6</v>
      </c>
      <c r="B6" s="59">
        <v>20570.6</v>
      </c>
      <c r="C6" s="59">
        <v>20570.6</v>
      </c>
      <c r="G6" s="59">
        <v>2068.3</v>
      </c>
      <c r="H6" s="59">
        <v>2068.3</v>
      </c>
      <c r="I6" s="59">
        <v>2068.3</v>
      </c>
    </row>
    <row r="7" spans="1:3" ht="12.75">
      <c r="A7" s="59">
        <v>3200.1</v>
      </c>
      <c r="B7" s="59">
        <v>3200.1</v>
      </c>
      <c r="C7" s="59">
        <v>3200.1</v>
      </c>
    </row>
    <row r="8" spans="1:3" ht="12.75">
      <c r="A8" s="59">
        <v>435</v>
      </c>
      <c r="B8" s="59">
        <v>435</v>
      </c>
      <c r="C8" s="59">
        <v>435</v>
      </c>
    </row>
    <row r="9" spans="1:3" ht="12.75">
      <c r="A9" s="59">
        <v>11862.4</v>
      </c>
      <c r="B9" s="59">
        <v>11894.4</v>
      </c>
      <c r="C9" s="59">
        <v>8880.5</v>
      </c>
    </row>
    <row r="10" spans="1:3" ht="12.75">
      <c r="A10" s="59">
        <v>294.7</v>
      </c>
      <c r="B10" s="59">
        <v>294.7</v>
      </c>
      <c r="C10" s="59">
        <v>294.7</v>
      </c>
    </row>
    <row r="25" spans="1:18" ht="12.75">
      <c r="A25" s="58">
        <f>SUM(A4:A24)</f>
        <v>300038.39999999997</v>
      </c>
      <c r="B25" s="58">
        <f aca="true" t="shared" si="0" ref="B25:O25">SUM(B4:B24)</f>
        <v>296639.8</v>
      </c>
      <c r="C25" s="58">
        <f t="shared" si="0"/>
        <v>293625.89999999997</v>
      </c>
      <c r="D25" s="58">
        <f t="shared" si="0"/>
        <v>190</v>
      </c>
      <c r="E25" s="58">
        <f t="shared" si="0"/>
        <v>190</v>
      </c>
      <c r="F25" s="58">
        <f t="shared" si="0"/>
        <v>190</v>
      </c>
      <c r="G25" s="58">
        <f t="shared" si="0"/>
        <v>15150.900000000001</v>
      </c>
      <c r="H25" s="58">
        <f t="shared" si="0"/>
        <v>10943.099999999999</v>
      </c>
      <c r="I25" s="58">
        <f t="shared" si="0"/>
        <v>10943.099999999999</v>
      </c>
      <c r="J25" s="58">
        <f t="shared" si="0"/>
        <v>11771.1</v>
      </c>
      <c r="K25" s="58">
        <f t="shared" si="0"/>
        <v>11771.1</v>
      </c>
      <c r="L25" s="58">
        <f t="shared" si="0"/>
        <v>11771.1</v>
      </c>
      <c r="M25" s="58">
        <f t="shared" si="0"/>
        <v>0</v>
      </c>
      <c r="N25" s="58">
        <f t="shared" si="0"/>
        <v>0</v>
      </c>
      <c r="O25" s="58">
        <f t="shared" si="0"/>
        <v>0</v>
      </c>
      <c r="P25" s="60">
        <f>SUM(A25+D25+G25+J25)</f>
        <v>327150.39999999997</v>
      </c>
      <c r="Q25" s="60">
        <f>SUM(B25+E25+H25+K25)</f>
        <v>319543.99999999994</v>
      </c>
      <c r="R25">
        <f>SUM(C25+F25+I25+L25)</f>
        <v>316530.0999999999</v>
      </c>
    </row>
    <row r="27" spans="1:14" ht="12.75">
      <c r="A27" s="115">
        <v>9600000</v>
      </c>
      <c r="B27" s="115"/>
      <c r="D27" s="115">
        <v>19000000</v>
      </c>
      <c r="E27" s="115"/>
      <c r="G27" s="115">
        <v>18000000</v>
      </c>
      <c r="H27" s="115"/>
      <c r="J27" s="115">
        <v>14000000</v>
      </c>
      <c r="K27" s="115"/>
      <c r="M27" s="115">
        <v>12000000</v>
      </c>
      <c r="N27" s="115"/>
    </row>
    <row r="28" spans="1:14" ht="12.75">
      <c r="A28">
        <v>2023</v>
      </c>
      <c r="B28">
        <v>2024</v>
      </c>
      <c r="D28">
        <v>2023</v>
      </c>
      <c r="E28">
        <v>2024</v>
      </c>
      <c r="G28">
        <v>2023</v>
      </c>
      <c r="H28">
        <v>2024</v>
      </c>
      <c r="J28">
        <v>2023</v>
      </c>
      <c r="K28">
        <v>2024</v>
      </c>
      <c r="M28">
        <v>2023</v>
      </c>
      <c r="N28">
        <v>2024</v>
      </c>
    </row>
    <row r="30" spans="1:14" ht="12.75">
      <c r="A30" s="61">
        <v>40.8</v>
      </c>
      <c r="B30" s="61">
        <v>40.8</v>
      </c>
      <c r="D30">
        <v>2814.6</v>
      </c>
      <c r="E30">
        <v>2814.6</v>
      </c>
      <c r="G30">
        <v>9929.9</v>
      </c>
      <c r="H30">
        <v>9929.9</v>
      </c>
      <c r="J30">
        <v>2641.8</v>
      </c>
      <c r="K30">
        <v>2641.8</v>
      </c>
      <c r="M30">
        <v>2117.8</v>
      </c>
      <c r="N30">
        <v>2117.8</v>
      </c>
    </row>
    <row r="31" spans="1:14" ht="12.75">
      <c r="A31" s="61">
        <v>1033.2</v>
      </c>
      <c r="B31" s="61">
        <v>1078.5</v>
      </c>
      <c r="D31">
        <v>208.4</v>
      </c>
      <c r="E31">
        <v>208.4</v>
      </c>
      <c r="H31">
        <v>5</v>
      </c>
      <c r="J31">
        <v>406.5</v>
      </c>
      <c r="K31">
        <v>391.4</v>
      </c>
      <c r="M31">
        <v>29348</v>
      </c>
      <c r="N31">
        <v>29348</v>
      </c>
    </row>
    <row r="32" spans="1:11" ht="12.75">
      <c r="A32" s="61">
        <v>2160.6</v>
      </c>
      <c r="B32" s="61">
        <v>2160.6</v>
      </c>
      <c r="D32">
        <v>580</v>
      </c>
      <c r="E32">
        <v>100</v>
      </c>
      <c r="G32">
        <v>60366.9</v>
      </c>
      <c r="H32">
        <v>60366.9</v>
      </c>
      <c r="J32">
        <v>80.1</v>
      </c>
      <c r="K32">
        <v>80.1</v>
      </c>
    </row>
    <row r="33" spans="1:8" ht="12.75">
      <c r="A33" s="61">
        <v>27752.3</v>
      </c>
      <c r="B33" s="61">
        <v>27427.7</v>
      </c>
      <c r="G33">
        <v>3570</v>
      </c>
      <c r="H33">
        <v>3570</v>
      </c>
    </row>
    <row r="34" spans="1:8" ht="12.75">
      <c r="A34" s="61">
        <v>200</v>
      </c>
      <c r="B34" s="61">
        <v>100</v>
      </c>
      <c r="G34">
        <v>25952.8</v>
      </c>
      <c r="H34">
        <v>25952.8</v>
      </c>
    </row>
    <row r="35" spans="1:2" ht="12.75">
      <c r="A35" s="61">
        <v>907.9</v>
      </c>
      <c r="B35" s="61">
        <v>907.9</v>
      </c>
    </row>
    <row r="36" spans="1:2" ht="12.75">
      <c r="A36" s="61">
        <v>1000</v>
      </c>
      <c r="B36" s="61">
        <v>1000</v>
      </c>
    </row>
    <row r="37" spans="1:2" ht="12.75">
      <c r="A37" s="61">
        <v>1006.3</v>
      </c>
      <c r="B37" s="61">
        <v>1006.3</v>
      </c>
    </row>
    <row r="38" spans="1:2" ht="12.75">
      <c r="A38" s="61">
        <v>1.4</v>
      </c>
      <c r="B38" s="61">
        <v>1.2</v>
      </c>
    </row>
    <row r="39" spans="1:14" ht="12.75">
      <c r="A39" s="62">
        <f>SUM(A30:A38)</f>
        <v>34102.50000000001</v>
      </c>
      <c r="B39" s="62">
        <f>SUM(B30:B38)</f>
        <v>33723</v>
      </c>
      <c r="D39" s="62">
        <f>SUM(D30:D38)</f>
        <v>3603</v>
      </c>
      <c r="E39" s="62">
        <f>SUM(E30:E38)</f>
        <v>3123</v>
      </c>
      <c r="G39" s="62">
        <f>SUM(G30:G38)</f>
        <v>99819.6</v>
      </c>
      <c r="H39" s="62">
        <f>SUM(H30:H38)</f>
        <v>99824.6</v>
      </c>
      <c r="J39" s="62">
        <f>SUM(J30:J38)</f>
        <v>3128.4</v>
      </c>
      <c r="K39" s="62">
        <f>SUM(K30:K38)</f>
        <v>3113.3</v>
      </c>
      <c r="M39" s="62">
        <f>SUM(M30:M38)</f>
        <v>31465.8</v>
      </c>
      <c r="N39" s="62">
        <f>SUM(N30:N38)</f>
        <v>31465.8</v>
      </c>
    </row>
    <row r="41" spans="1:14" ht="12.75">
      <c r="A41" s="115">
        <v>11000000</v>
      </c>
      <c r="B41" s="115"/>
      <c r="D41" s="115">
        <v>10000000</v>
      </c>
      <c r="E41" s="115"/>
      <c r="G41" s="116" t="s">
        <v>859</v>
      </c>
      <c r="H41" s="116"/>
      <c r="J41" s="116" t="s">
        <v>860</v>
      </c>
      <c r="K41" s="116"/>
      <c r="M41" s="116" t="s">
        <v>861</v>
      </c>
      <c r="N41" s="116"/>
    </row>
    <row r="42" spans="1:14" ht="12.75">
      <c r="A42">
        <v>2023</v>
      </c>
      <c r="B42">
        <v>2024</v>
      </c>
      <c r="D42">
        <v>2023</v>
      </c>
      <c r="E42">
        <v>2024</v>
      </c>
      <c r="G42">
        <v>2023</v>
      </c>
      <c r="H42">
        <v>2024</v>
      </c>
      <c r="J42">
        <v>2023</v>
      </c>
      <c r="K42">
        <v>2024</v>
      </c>
      <c r="M42">
        <v>2023</v>
      </c>
      <c r="N42">
        <v>2024</v>
      </c>
    </row>
    <row r="44" spans="1:14" ht="12.75">
      <c r="A44">
        <v>1089.8</v>
      </c>
      <c r="B44">
        <v>1089.8</v>
      </c>
      <c r="D44">
        <v>8845.9</v>
      </c>
      <c r="E44">
        <v>8407.4</v>
      </c>
      <c r="G44">
        <v>7782.3</v>
      </c>
      <c r="H44">
        <v>7572.3</v>
      </c>
      <c r="J44">
        <v>2686.2</v>
      </c>
      <c r="K44">
        <v>2440.4</v>
      </c>
      <c r="M44">
        <v>5040.2</v>
      </c>
      <c r="N44">
        <v>4331</v>
      </c>
    </row>
    <row r="45" spans="4:14" ht="12.75">
      <c r="D45">
        <v>1111.5</v>
      </c>
      <c r="E45">
        <v>1111.5</v>
      </c>
      <c r="J45">
        <v>11664.1</v>
      </c>
      <c r="K45">
        <v>11664.1</v>
      </c>
      <c r="M45">
        <v>80</v>
      </c>
      <c r="N45">
        <v>70</v>
      </c>
    </row>
    <row r="46" spans="10:11" ht="12.75">
      <c r="J46">
        <v>72668.4</v>
      </c>
      <c r="K46">
        <v>72668.4</v>
      </c>
    </row>
    <row r="47" spans="10:11" ht="12.75">
      <c r="J47">
        <v>2433.9</v>
      </c>
      <c r="K47">
        <v>2433.9</v>
      </c>
    </row>
    <row r="53" spans="1:14" ht="12.75">
      <c r="A53" s="62">
        <f>SUM(A44:A52)</f>
        <v>1089.8</v>
      </c>
      <c r="B53" s="62">
        <f>SUM(B44:B52)</f>
        <v>1089.8</v>
      </c>
      <c r="D53" s="62">
        <f>SUM(D44:D52)</f>
        <v>9957.4</v>
      </c>
      <c r="E53" s="62">
        <f>SUM(E44:E52)</f>
        <v>9518.9</v>
      </c>
      <c r="G53" s="62">
        <f>SUM(G44:G52)</f>
        <v>7782.3</v>
      </c>
      <c r="H53" s="62">
        <f>SUM(H44:H52)</f>
        <v>7572.3</v>
      </c>
      <c r="J53" s="62">
        <f>SUM(J44:J52)</f>
        <v>89452.59999999999</v>
      </c>
      <c r="K53" s="62">
        <f>SUM(K44:K52)</f>
        <v>89206.79999999999</v>
      </c>
      <c r="M53" s="62">
        <f>SUM(M44:M52)</f>
        <v>5120.2</v>
      </c>
      <c r="N53" s="62">
        <f>SUM(N44:N52)</f>
        <v>4401</v>
      </c>
    </row>
    <row r="56" spans="1:2" ht="12.75">
      <c r="A56" s="116" t="s">
        <v>862</v>
      </c>
      <c r="B56" s="116"/>
    </row>
    <row r="57" spans="1:2" ht="12.75">
      <c r="A57">
        <v>2023</v>
      </c>
      <c r="B57">
        <v>2024</v>
      </c>
    </row>
    <row r="59" spans="1:2" ht="12.75">
      <c r="A59">
        <v>1089.8</v>
      </c>
      <c r="B59">
        <v>1089.8</v>
      </c>
    </row>
    <row r="60" spans="1:2" ht="12.75">
      <c r="A60" s="61"/>
      <c r="B60" s="61"/>
    </row>
    <row r="61" spans="1:2" ht="12.75">
      <c r="A61" s="61">
        <v>1055</v>
      </c>
      <c r="B61" s="61"/>
    </row>
    <row r="62" spans="1:2" ht="12.75">
      <c r="A62" s="61">
        <v>1370</v>
      </c>
      <c r="B62" s="61">
        <v>1370</v>
      </c>
    </row>
    <row r="63" spans="1:2" ht="12.75">
      <c r="A63" s="61">
        <v>1000.4</v>
      </c>
      <c r="B63" s="61">
        <v>990.4</v>
      </c>
    </row>
    <row r="64" spans="1:2" ht="12.75">
      <c r="A64" s="61">
        <v>78447.6</v>
      </c>
      <c r="B64" s="61">
        <v>96936.9</v>
      </c>
    </row>
    <row r="65" spans="1:2" ht="12.75">
      <c r="A65" s="61">
        <v>3194</v>
      </c>
      <c r="B65" s="61">
        <v>3494</v>
      </c>
    </row>
    <row r="66" spans="1:2" ht="12.75">
      <c r="A66" s="61"/>
      <c r="B66" s="61"/>
    </row>
    <row r="67" spans="1:2" ht="12.75">
      <c r="A67" s="61"/>
      <c r="B67" s="61"/>
    </row>
    <row r="68" spans="1:2" ht="12.75">
      <c r="A68" s="62">
        <f>SUM(A59:A67)</f>
        <v>86156.8</v>
      </c>
      <c r="B68" s="62">
        <f>SUM(B59:B67)</f>
        <v>103881.09999999999</v>
      </c>
    </row>
  </sheetData>
  <sheetProtection/>
  <mergeCells count="16">
    <mergeCell ref="A1:C1"/>
    <mergeCell ref="D1:F1"/>
    <mergeCell ref="G1:I1"/>
    <mergeCell ref="J1:L1"/>
    <mergeCell ref="M1:O1"/>
    <mergeCell ref="A27:B27"/>
    <mergeCell ref="D27:E27"/>
    <mergeCell ref="G27:H27"/>
    <mergeCell ref="J27:K27"/>
    <mergeCell ref="M27:N27"/>
    <mergeCell ref="A41:B41"/>
    <mergeCell ref="D41:E41"/>
    <mergeCell ref="G41:H41"/>
    <mergeCell ref="J41:K41"/>
    <mergeCell ref="M41:N41"/>
    <mergeCell ref="A56:B5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Admin</cp:lastModifiedBy>
  <cp:lastPrinted>2023-10-27T05:02:24Z</cp:lastPrinted>
  <dcterms:created xsi:type="dcterms:W3CDTF">2007-10-11T12:08:51Z</dcterms:created>
  <dcterms:modified xsi:type="dcterms:W3CDTF">2024-07-08T02:36:12Z</dcterms:modified>
  <cp:category/>
  <cp:version/>
  <cp:contentType/>
  <cp:contentStatus/>
</cp:coreProperties>
</file>