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  <sheet name="функционал" sheetId="2" r:id="rId2"/>
  </sheets>
  <definedNames>
    <definedName name="_xlnm.Print_Titles" localSheetId="0">'Лист1'!$7:$8</definedName>
    <definedName name="_xlnm.Print_Area" localSheetId="0">'Лист1'!$A$1:$AG$921</definedName>
  </definedNames>
  <calcPr fullCalcOnLoad="1"/>
</workbook>
</file>

<file path=xl/sharedStrings.xml><?xml version="1.0" encoding="utf-8"?>
<sst xmlns="http://schemas.openxmlformats.org/spreadsheetml/2006/main" count="5107" uniqueCount="1508">
  <si>
    <t>648</t>
  </si>
  <si>
    <t>649</t>
  </si>
  <si>
    <t>650</t>
  </si>
  <si>
    <t>651</t>
  </si>
  <si>
    <t>10</t>
  </si>
  <si>
    <t>11</t>
  </si>
  <si>
    <t>12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</si>
  <si>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</si>
  <si>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</si>
  <si>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</si>
  <si>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</si>
  <si>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</si>
  <si>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</si>
  <si>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</si>
  <si>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</si>
  <si>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</si>
  <si>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</si>
  <si>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82</t>
  </si>
  <si>
    <t>83</t>
  </si>
  <si>
    <t>90</t>
  </si>
  <si>
    <t>93</t>
  </si>
  <si>
    <t>94</t>
  </si>
  <si>
    <t>95</t>
  </si>
  <si>
    <t>96</t>
  </si>
  <si>
    <t>97</t>
  </si>
  <si>
    <t>98</t>
  </si>
  <si>
    <t>99</t>
  </si>
  <si>
    <t>122</t>
  </si>
  <si>
    <t>123</t>
  </si>
  <si>
    <t>124</t>
  </si>
  <si>
    <t>125</t>
  </si>
  <si>
    <t>126</t>
  </si>
  <si>
    <t>127</t>
  </si>
  <si>
    <t>128</t>
  </si>
  <si>
    <t>157</t>
  </si>
  <si>
    <t>158</t>
  </si>
  <si>
    <t>159</t>
  </si>
  <si>
    <t>160</t>
  </si>
  <si>
    <t>167</t>
  </si>
  <si>
    <t>168</t>
  </si>
  <si>
    <t>169</t>
  </si>
  <si>
    <t>170</t>
  </si>
  <si>
    <t>171</t>
  </si>
  <si>
    <t>172</t>
  </si>
  <si>
    <t>193</t>
  </si>
  <si>
    <t>194</t>
  </si>
  <si>
    <t>195</t>
  </si>
  <si>
    <t>196</t>
  </si>
  <si>
    <t>203</t>
  </si>
  <si>
    <t>204</t>
  </si>
  <si>
    <t>Подпрограмма "Формирование и постановка на государственный кадастровый учёт земельных участков"</t>
  </si>
  <si>
    <t>Реализация образовательных программ оздоровления, отдыха, занятости детей и подростков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</si>
  <si>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Организация подвоза детей и подростков к местам отдыха, оздоровления, занятости, местам проведения культурно-массовых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</si>
  <si>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244</t>
  </si>
  <si>
    <t>245</t>
  </si>
  <si>
    <t>246</t>
  </si>
  <si>
    <t>267</t>
  </si>
  <si>
    <t>268</t>
  </si>
  <si>
    <t>270</t>
  </si>
  <si>
    <t>271</t>
  </si>
  <si>
    <t>272</t>
  </si>
  <si>
    <t>273</t>
  </si>
  <si>
    <t>274</t>
  </si>
  <si>
    <t>288</t>
  </si>
  <si>
    <t>289</t>
  </si>
  <si>
    <t>290</t>
  </si>
  <si>
    <t>299</t>
  </si>
  <si>
    <t>317</t>
  </si>
  <si>
    <t>318</t>
  </si>
  <si>
    <t>426</t>
  </si>
  <si>
    <t>Культура, кинематография</t>
  </si>
  <si>
    <t>0800</t>
  </si>
  <si>
    <t>Культура</t>
  </si>
  <si>
    <t>0801</t>
  </si>
  <si>
    <t>Подпрограмма "Культурное наследие Большеулуйского района"</t>
  </si>
  <si>
    <t>455</t>
  </si>
  <si>
    <t>456</t>
  </si>
  <si>
    <t>Молодежная политика и оздоровление детей</t>
  </si>
  <si>
    <t>0707</t>
  </si>
  <si>
    <t>0709</t>
  </si>
  <si>
    <t>Другие вопросы в области образования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</si>
  <si>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района"</t>
  </si>
  <si>
    <t>Подпрограмма "Искусство и народное творчество Большеулуйского района"</t>
  </si>
  <si>
    <t>0909</t>
  </si>
  <si>
    <t>520</t>
  </si>
  <si>
    <t>Пенсионное обеспечение</t>
  </si>
  <si>
    <t>1001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</si>
  <si>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</si>
  <si>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</si>
  <si>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</si>
  <si>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</si>
  <si>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601</t>
  </si>
  <si>
    <t>602</t>
  </si>
  <si>
    <t>Подпрограмма "Вовлечение молодёжи Большеулуйского района в социальную практику"</t>
  </si>
  <si>
    <t>Проведение аттестации автоматизированных систем для обеспечения безопасности информации, составляющей государственную тайну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</si>
  <si>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безопасности"</t>
  </si>
  <si>
    <t>Подпрограмма "Патриотическое  воспитание молодёжи Большеулуйского района "</t>
  </si>
  <si>
    <t>0405</t>
  </si>
  <si>
    <t>ФЭУ администрации Большеулуйского района</t>
  </si>
  <si>
    <t>Сельское хозяйство</t>
  </si>
  <si>
    <t>Монтаж видеонаблюдения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</si>
  <si>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Субсидии юридическим лицам (кроме некоммерческих организаций), индивидуальным предпринимателям, физическим лицам</t>
  </si>
  <si>
    <t>240</t>
  </si>
  <si>
    <t>Вид расходов</t>
  </si>
  <si>
    <t>137</t>
  </si>
  <si>
    <t>1000</t>
  </si>
  <si>
    <t>Всего</t>
  </si>
  <si>
    <t>1006</t>
  </si>
  <si>
    <t>Другие вопросы в области социальной политики</t>
  </si>
  <si>
    <t>200</t>
  </si>
  <si>
    <t>Раздел, подраздел</t>
  </si>
  <si>
    <t>9</t>
  </si>
  <si>
    <t>149</t>
  </si>
  <si>
    <t>Межбюджетные трансферты</t>
  </si>
  <si>
    <t>Социальная политика</t>
  </si>
  <si>
    <t>84</t>
  </si>
  <si>
    <t>85</t>
  </si>
  <si>
    <t>86</t>
  </si>
  <si>
    <t>87</t>
  </si>
  <si>
    <t>88</t>
  </si>
  <si>
    <t>89</t>
  </si>
  <si>
    <t>129</t>
  </si>
  <si>
    <t>130</t>
  </si>
  <si>
    <t>131</t>
  </si>
  <si>
    <t>132</t>
  </si>
  <si>
    <t>209</t>
  </si>
  <si>
    <t>210</t>
  </si>
  <si>
    <t>255</t>
  </si>
  <si>
    <t>259</t>
  </si>
  <si>
    <t>260</t>
  </si>
  <si>
    <t>291</t>
  </si>
  <si>
    <t>292</t>
  </si>
  <si>
    <t>293</t>
  </si>
  <si>
    <t>294</t>
  </si>
  <si>
    <t>334</t>
  </si>
  <si>
    <t>457</t>
  </si>
  <si>
    <t>461</t>
  </si>
  <si>
    <t>476</t>
  </si>
  <si>
    <t>477</t>
  </si>
  <si>
    <t>524</t>
  </si>
  <si>
    <t>612</t>
  </si>
  <si>
    <t>613</t>
  </si>
  <si>
    <t>614</t>
  </si>
  <si>
    <t>Иные межбюджетные трансферты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</si>
  <si>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</si>
  <si>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</si>
  <si>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540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</si>
  <si>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</si>
  <si>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</si>
  <si>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</si>
  <si>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</si>
  <si>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</si>
  <si>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</si>
  <si>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</si>
  <si>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</si>
  <si>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</si>
  <si>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</si>
  <si>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</si>
  <si>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7</t>
  </si>
  <si>
    <t>8</t>
  </si>
  <si>
    <t/>
  </si>
  <si>
    <t>Код ведомства</t>
  </si>
  <si>
    <t>094</t>
  </si>
  <si>
    <t>600</t>
  </si>
  <si>
    <t>610</t>
  </si>
  <si>
    <t>Субсидии бюджетным учреждениям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</si>
  <si>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</si>
  <si>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</si>
  <si>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</si>
  <si>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</si>
  <si>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Дотации</t>
  </si>
  <si>
    <t>510</t>
  </si>
  <si>
    <t>1301</t>
  </si>
  <si>
    <t>730</t>
  </si>
  <si>
    <t>700</t>
  </si>
  <si>
    <t>102</t>
  </si>
  <si>
    <t>111</t>
  </si>
  <si>
    <t>0100</t>
  </si>
  <si>
    <t>0106</t>
  </si>
  <si>
    <t>100</t>
  </si>
  <si>
    <t>120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</si>
  <si>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</si>
  <si>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</si>
  <si>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Подпрограмма "Инвентаризация объектов недвижимого имущества"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</si>
  <si>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</si>
  <si>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Подпрограмма "Обеспечение жильём молодых семей в Большеулуйском районе"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</si>
  <si>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</si>
  <si>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</si>
  <si>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Большеулуйский районный Совет депутатов</t>
  </si>
  <si>
    <t>101</t>
  </si>
  <si>
    <t>0102</t>
  </si>
  <si>
    <t>Функционирование высшего должностного лица субъекта Российской  Федерации и муниципального образования</t>
  </si>
  <si>
    <t>Непрограммные расходы представительных органов власти</t>
  </si>
  <si>
    <t xml:space="preserve">Функционирование Большеулуйского районного Совета депутатов </t>
  </si>
  <si>
    <t>Председатель представительного органа местного самоуправления муниципального района в рамках непрограммных расходов представительного органа власти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</si>
  <si>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</si>
  <si>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местного самоуправления в рамках непрограммных расходов  представительного органа власти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</si>
  <si>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</si>
  <si>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Иные бюджетные ассигнования</t>
  </si>
  <si>
    <t>Уплата налогов, сборов и иных платежей</t>
  </si>
  <si>
    <t>0103</t>
  </si>
  <si>
    <t>800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</si>
  <si>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</si>
  <si>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</si>
  <si>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"Обеспечение условий реализации программы и прочие мероприятия"</t>
  </si>
  <si>
    <t>Физическая культура и спорт</t>
  </si>
  <si>
    <t>1100</t>
  </si>
  <si>
    <t>Массовый спорт</t>
  </si>
  <si>
    <t>1102</t>
  </si>
  <si>
    <t>Подпрограмма "Развитие массовой физической культуры и спорта"</t>
  </si>
  <si>
    <t>Подпрограмма «Развитие кадрового потенциала отрасли»</t>
  </si>
  <si>
    <t>110</t>
  </si>
  <si>
    <t>0113</t>
  </si>
  <si>
    <t>133</t>
  </si>
  <si>
    <t>Другие общегосударственные вопросы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</si>
  <si>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</si>
  <si>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</si>
  <si>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«Управление муниципальными финансами»</t>
  </si>
  <si>
    <t>Непрограммные расходы отдельных органов исполнительной власти</t>
  </si>
  <si>
    <t>Функционирование администрации Большеулуйского района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</si>
  <si>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</si>
  <si>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0104</t>
  </si>
  <si>
    <t>Резервные фонды</t>
  </si>
  <si>
    <t>Резервные фонды исполнительных органов местного самоуправления по Администрации Большеулуйского района в рамках непрограммных расходов отдельных органов исполнительной власти</t>
  </si>
  <si>
    <t>Резервные средства</t>
  </si>
  <si>
    <t>0111</t>
  </si>
  <si>
    <t>870</t>
  </si>
  <si>
    <t>Подпрограмма "Развитие архивного дела в Большеулуйском районе"</t>
  </si>
  <si>
    <t>161</t>
  </si>
  <si>
    <t>162</t>
  </si>
  <si>
    <t>163</t>
  </si>
  <si>
    <t>Организация деятельности районных методических объединений, методических советов. Обеспечение системы переподготовки и повышения квалификации педагогов через семинары, круглые столы, педагогические чтения и др. в рамках подпрограммы «Развитие кадрового потенциала отрасли» муниципальной программы «Развитие образования Большеулуйского района»</t>
  </si>
  <si>
    <t>Награждение лучших учителей за высокие показатели в учебно-воспитательном процессе и внедрение инновационных технологий в обучении школьников в рамках подпрограммы «Развитие кадрового потенциала отрасли» муниципальной программы «Развитие образования Большеулуйского района»</t>
  </si>
  <si>
    <t>Подпрограмма «Господдержка детей сирот, расширение практики применения семейных форм воспитания»</t>
  </si>
  <si>
    <t>Подпрограмма «Обеспечение реализации муниципальной программы и прочие мероприятия в области образования»</t>
  </si>
  <si>
    <t>Функционирование финансового отдела администрации Большеулуйского района</t>
  </si>
  <si>
    <t>Субвенции бюджетам муниципальных образований района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</si>
  <si>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</si>
  <si>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530</t>
  </si>
  <si>
    <t>Национальная оборона</t>
  </si>
  <si>
    <t>Мобилизационная и вневойсковая подготовка</t>
  </si>
  <si>
    <t>Субвенции бюджетам муниципальных образований района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</si>
  <si>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0200</t>
  </si>
  <si>
    <t>0203</t>
  </si>
  <si>
    <t>Национальная экономика</t>
  </si>
  <si>
    <t>Транспорт</t>
  </si>
  <si>
    <t>Социальное обеспечение населения</t>
  </si>
  <si>
    <t>1003</t>
  </si>
  <si>
    <t>Социальные выплаты гражданам, кроме публичных нормативных социальных выплат</t>
  </si>
  <si>
    <t>320</t>
  </si>
  <si>
    <t>Охрана семьи и детства</t>
  </si>
  <si>
    <t>1004</t>
  </si>
  <si>
    <t>0505</t>
  </si>
  <si>
    <t>Другие вопросы в области жилищно-коммунального хозяйства</t>
  </si>
  <si>
    <t>Подпрограмма «Обеспечение реализации муниципальной программы и прочие мероприятия»</t>
  </si>
  <si>
    <t>Большеулуйский отдел образования администрации района</t>
  </si>
  <si>
    <t>Национальная безопасность и правоохранительная деятельность</t>
  </si>
  <si>
    <t>Муниципальная программа "Защита населения и территории Большеулуйского района от чрезвычайных ситуаций природного и техногенного характера"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</si>
  <si>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</t>
  </si>
  <si>
    <t>Чернение льда на затопленных участках р.Чулым,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</si>
  <si>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0400</t>
  </si>
  <si>
    <t>0408</t>
  </si>
  <si>
    <t>810</t>
  </si>
  <si>
    <t>Другие вопросы в области национальной экономики</t>
  </si>
  <si>
    <t>0412</t>
  </si>
  <si>
    <t>Муниципальное казенное учреждение "Служба заказчика"</t>
  </si>
  <si>
    <t>Образование</t>
  </si>
  <si>
    <t>Дошкольное образование</t>
  </si>
  <si>
    <t>Муниципальная программа Большеулуйского района «Развитие образования Большеулуйского района»</t>
  </si>
  <si>
    <t>Подпрограмма «Развитие дошкольного, общего образования детей»</t>
  </si>
  <si>
    <t>Предоставление субсидий бюджетным, автономным учреждениям и иным некоммерческим организациям</t>
  </si>
  <si>
    <t>0700</t>
  </si>
  <si>
    <t>0701</t>
  </si>
  <si>
    <t>Обслуживание и ремонт имеющейся аппаратуры системы централизованного оповещения ГО (АСЦО) населения Большеулуйского района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</si>
  <si>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Другие вопросы в области национальной безопасности и правоохранительной деятельности</t>
  </si>
  <si>
    <t>Подпрограмма "О мерах противодействию терроризму и экстремизму"</t>
  </si>
  <si>
    <t>0300</t>
  </si>
  <si>
    <t>0309</t>
  </si>
  <si>
    <t>0314</t>
  </si>
  <si>
    <t>Подпрограмма "Поддержка субъектов малого и среднего предпринимательства"</t>
  </si>
  <si>
    <t>Подпрограмма "Обеспечение реализации муниципальной программы"</t>
  </si>
  <si>
    <t>410</t>
  </si>
  <si>
    <t>Общее образование</t>
  </si>
  <si>
    <t>0702</t>
  </si>
  <si>
    <t>0500</t>
  </si>
  <si>
    <t>0502</t>
  </si>
  <si>
    <t>Жилищно-коммунальное хозяйство</t>
  </si>
  <si>
    <t>Коммунальное хозяйство</t>
  </si>
  <si>
    <t>618</t>
  </si>
  <si>
    <t>628</t>
  </si>
  <si>
    <t xml:space="preserve">Муниципальная программа "Развитие сельского хозяйства и регулирование рынков сельскохозяйственной продукции, сырья и продовольствия в Большеулуйском районе" </t>
  </si>
  <si>
    <t xml:space="preserve">Муниципальная программа Большеулуйского района "Развитие культуры Большеулуйского района" </t>
  </si>
  <si>
    <t>Муниципальная программа Большеулуйского района "Эффективное управление муниципальным имуществом и земельными отношениями"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</si>
  <si>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</si>
  <si>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Подпрограмма "Развитие и модернизация объектов коммунальной инфраструктуры Большеулуйского района"</t>
  </si>
  <si>
    <t>Муниципальная программа "Молодёжь Большеулуйского района"</t>
  </si>
  <si>
    <t>Муниципальная программа Большеулуйского района "Развитие культуры Большеулуйского района"</t>
  </si>
  <si>
    <t>Муниципальная программа "Развитие физической культуры, спорта в Большеулуйском районе Красноярского края "</t>
  </si>
  <si>
    <t>Проведение районных спортивно-массовых мероприятий, 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</si>
  <si>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 »</t>
  </si>
  <si>
    <t>Расходы на выплаты персоналу государственных (муниципальных) органов</t>
  </si>
  <si>
    <t xml:space="preserve">   </t>
  </si>
  <si>
    <t>314</t>
  </si>
  <si>
    <t>315</t>
  </si>
  <si>
    <t>316</t>
  </si>
  <si>
    <t>Подпрограмма "Обеспечение профилактики и тушения пожаров в Большеулуйском районе"</t>
  </si>
  <si>
    <t>Подпрограмма "Обеспечение реализации муниципальной программы и прочие мероприятия"</t>
  </si>
  <si>
    <t>Взносы на капитальный ремонт общего имущества многоквартирных домов</t>
  </si>
  <si>
    <t>1840000990</t>
  </si>
  <si>
    <t>1800000000</t>
  </si>
  <si>
    <t>1840000000</t>
  </si>
  <si>
    <t>9620075140</t>
  </si>
  <si>
    <t>9600000000</t>
  </si>
  <si>
    <t>9620000000</t>
  </si>
  <si>
    <t>1810000000</t>
  </si>
  <si>
    <t>1810076010</t>
  </si>
  <si>
    <t>9510000000</t>
  </si>
  <si>
    <t>9500000000</t>
  </si>
  <si>
    <t>9510000990</t>
  </si>
  <si>
    <t>9700000000</t>
  </si>
  <si>
    <t xml:space="preserve">Непрограммные мероприятия контрольно-счётного органа </t>
  </si>
  <si>
    <t>Функционирование Контрольно-счётного органа Большеулуйского района</t>
  </si>
  <si>
    <t>9710000000</t>
  </si>
  <si>
    <t xml:space="preserve">Руководство и управление в сфере установленных функций контрольно-счётного органа местного самоуправления в рамках непрограммных расходов </t>
  </si>
  <si>
    <t>9710000990</t>
  </si>
  <si>
    <t>0840000000</t>
  </si>
  <si>
    <t>0800000000</t>
  </si>
  <si>
    <t>1900000000</t>
  </si>
  <si>
    <t>9610000000</t>
  </si>
  <si>
    <t>9610000990</t>
  </si>
  <si>
    <t>9610074290</t>
  </si>
  <si>
    <t>9610000920</t>
  </si>
  <si>
    <t>0830000000</t>
  </si>
  <si>
    <t>0830075190</t>
  </si>
  <si>
    <t>1830000000</t>
  </si>
  <si>
    <t>1830000980</t>
  </si>
  <si>
    <t>1910000000</t>
  </si>
  <si>
    <t>0500000000</t>
  </si>
  <si>
    <t>0510000000</t>
  </si>
  <si>
    <t>0520000000</t>
  </si>
  <si>
    <t>0540000000</t>
  </si>
  <si>
    <t>0530000000</t>
  </si>
  <si>
    <t>1400000000</t>
  </si>
  <si>
    <t>1410000000</t>
  </si>
  <si>
    <t>1200000000</t>
  </si>
  <si>
    <t>1220000000</t>
  </si>
  <si>
    <t>1100000000</t>
  </si>
  <si>
    <t>1120000000</t>
  </si>
  <si>
    <t>1930000000</t>
  </si>
  <si>
    <t>0900000000</t>
  </si>
  <si>
    <t>1000000000</t>
  </si>
  <si>
    <t>1010000000</t>
  </si>
  <si>
    <t>0810000000</t>
  </si>
  <si>
    <t>0820000000</t>
  </si>
  <si>
    <t>1030000000</t>
  </si>
  <si>
    <t>0910000000</t>
  </si>
  <si>
    <t>0200000000</t>
  </si>
  <si>
    <t>0220000000</t>
  </si>
  <si>
    <t>0240000000</t>
  </si>
  <si>
    <t>0230000000</t>
  </si>
  <si>
    <t>0250000000</t>
  </si>
  <si>
    <t>0250000980</t>
  </si>
  <si>
    <t>0250000990</t>
  </si>
  <si>
    <t>0400000000</t>
  </si>
  <si>
    <t>0410000000</t>
  </si>
  <si>
    <t>1020000000</t>
  </si>
  <si>
    <t>0450000000</t>
  </si>
  <si>
    <t>0450000980</t>
  </si>
  <si>
    <t>9610000910</t>
  </si>
  <si>
    <t>Непрограммные расходы исполнительных органов власти</t>
  </si>
  <si>
    <t>9610076040</t>
  </si>
  <si>
    <t>0490075700</t>
  </si>
  <si>
    <t>0490000000</t>
  </si>
  <si>
    <t>0220074080</t>
  </si>
  <si>
    <t>0220075640</t>
  </si>
  <si>
    <t>0220074090</t>
  </si>
  <si>
    <t>0240075520</t>
  </si>
  <si>
    <t>0220075540</t>
  </si>
  <si>
    <t>0220075660</t>
  </si>
  <si>
    <t>0220075560</t>
  </si>
  <si>
    <t>134</t>
  </si>
  <si>
    <t>135</t>
  </si>
  <si>
    <t>184</t>
  </si>
  <si>
    <t>197</t>
  </si>
  <si>
    <t>202</t>
  </si>
  <si>
    <t>239</t>
  </si>
  <si>
    <t>247</t>
  </si>
  <si>
    <t>248</t>
  </si>
  <si>
    <t>249</t>
  </si>
  <si>
    <t>266</t>
  </si>
  <si>
    <t>298</t>
  </si>
  <si>
    <t>338</t>
  </si>
  <si>
    <t>387</t>
  </si>
  <si>
    <t>556</t>
  </si>
  <si>
    <t>588</t>
  </si>
  <si>
    <t>611</t>
  </si>
  <si>
    <t>652</t>
  </si>
  <si>
    <t>655</t>
  </si>
  <si>
    <t>0220075880</t>
  </si>
  <si>
    <t>571</t>
  </si>
  <si>
    <t>572</t>
  </si>
  <si>
    <t>9620051180</t>
  </si>
  <si>
    <t>Отдельные мероприятия</t>
  </si>
  <si>
    <t xml:space="preserve">условно утверждаемые </t>
  </si>
  <si>
    <t>Организация и поддержка районных конкурсов профессионального мастерства,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</si>
  <si>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Мероприятие на организацию отдыха детей и их оздоровление за счёт средств краевого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</si>
  <si>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Предоставление социальных выплат молодым семьям на приобретение (строительство жилья) за счёт средств районного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</si>
  <si>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 xml:space="preserve">Муниципальная программа "Развитие субъектов малого и среднего предпринимательства в Большеулуйском районе" </t>
  </si>
  <si>
    <t xml:space="preserve">Муниципальная программа "Развитие транспортной  системы" </t>
  </si>
  <si>
    <t xml:space="preserve">Подпрограмма "Развитие транспортного комплекса" </t>
  </si>
  <si>
    <t xml:space="preserve">Муниципальная программа Большеулуйского района "Управление муниципальными финансами" </t>
  </si>
  <si>
    <t xml:space="preserve">Подпрограмма "Обеспечение реализации муниципальной программы и прочие мероприятия" </t>
  </si>
  <si>
    <t>Муниципальная программа "Молодёжь Большеулуйского района  "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</si>
  <si>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 маршрутам в границах муниципального района, в рамках подпрограммы «Развитие транспортного комплекса» муниципальной программы Большеулуйского района «Развитие транспортной  системы»</t>
  </si>
  <si>
    <t>26</t>
  </si>
  <si>
    <t>27</t>
  </si>
  <si>
    <t>28</t>
  </si>
  <si>
    <t>37</t>
  </si>
  <si>
    <t>38</t>
  </si>
  <si>
    <t>39</t>
  </si>
  <si>
    <t>40</t>
  </si>
  <si>
    <t>91</t>
  </si>
  <si>
    <t>92</t>
  </si>
  <si>
    <t>144</t>
  </si>
  <si>
    <t>145</t>
  </si>
  <si>
    <t>146</t>
  </si>
  <si>
    <t>147</t>
  </si>
  <si>
    <t>148</t>
  </si>
  <si>
    <t>201</t>
  </si>
  <si>
    <t>230</t>
  </si>
  <si>
    <t>231</t>
  </si>
  <si>
    <t>232</t>
  </si>
  <si>
    <t>256</t>
  </si>
  <si>
    <t>257</t>
  </si>
  <si>
    <t>258</t>
  </si>
  <si>
    <t>295</t>
  </si>
  <si>
    <t>296</t>
  </si>
  <si>
    <t>297</t>
  </si>
  <si>
    <t>301</t>
  </si>
  <si>
    <t>302</t>
  </si>
  <si>
    <t>303</t>
  </si>
  <si>
    <t>304</t>
  </si>
  <si>
    <t>339</t>
  </si>
  <si>
    <t>340</t>
  </si>
  <si>
    <t>341</t>
  </si>
  <si>
    <t>342</t>
  </si>
  <si>
    <t>392</t>
  </si>
  <si>
    <t>507</t>
  </si>
  <si>
    <t>570</t>
  </si>
  <si>
    <t>609</t>
  </si>
  <si>
    <t>629</t>
  </si>
  <si>
    <t>630</t>
  </si>
  <si>
    <t>647</t>
  </si>
  <si>
    <t>653</t>
  </si>
  <si>
    <t>654</t>
  </si>
  <si>
    <t>660</t>
  </si>
  <si>
    <t>0703</t>
  </si>
  <si>
    <t>Дополнительное образование детей</t>
  </si>
  <si>
    <t>0220076490</t>
  </si>
  <si>
    <t>Судебная система</t>
  </si>
  <si>
    <t>0105</t>
  </si>
  <si>
    <t>9610051200</t>
  </si>
  <si>
    <t>263</t>
  </si>
  <si>
    <t>264</t>
  </si>
  <si>
    <t>265</t>
  </si>
  <si>
    <t>396</t>
  </si>
  <si>
    <t>397</t>
  </si>
  <si>
    <t>508</t>
  </si>
  <si>
    <t>527</t>
  </si>
  <si>
    <t>528</t>
  </si>
  <si>
    <t>211</t>
  </si>
  <si>
    <t>214</t>
  </si>
  <si>
    <t>215</t>
  </si>
  <si>
    <t>216</t>
  </si>
  <si>
    <t>432</t>
  </si>
  <si>
    <t>433</t>
  </si>
  <si>
    <t>434</t>
  </si>
  <si>
    <t>521</t>
  </si>
  <si>
    <t>522</t>
  </si>
  <si>
    <t>523</t>
  </si>
  <si>
    <t>646</t>
  </si>
  <si>
    <t>Празднование Дня Победы в ВОВ 1941-1945гг,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</si>
  <si>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проведения военно-полевых сборов в общеобразовательных учреждениях,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</si>
  <si>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</si>
  <si>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 Большеулуйского района"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</si>
  <si>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 Большеулуйского района"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</si>
  <si>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</si>
  <si>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</si>
  <si>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</si>
  <si>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на питание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</si>
  <si>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Большеулуйском районе» муниципальной программы Большеулуйского района  «Развитие культуры Большеулуйского района»</t>
  </si>
  <si>
    <t>Оформление технической документации на объекты муниципальной собственности и объекты, принимаемые в муниципальную собственность, в рамках подпрограммы «Инвентаризация объектов недвижимого имущества» муниципальной программы Большеулуйского района "Эффективное управление муниципальным имуществом и земельными отношениями"</t>
  </si>
  <si>
    <t>Финансовое обеспечение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выполнением, в рамках непрограммных расходов отдельных органов исполнительной власти</t>
  </si>
  <si>
    <t>Финансовое обеспечение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отдельных органов исполнительной власти</t>
  </si>
  <si>
    <t xml:space="preserve">Финансовое обеспечение отдельных государственных полномочий по решению вопросов поддержки сельскохозяйственного производства, в рамках подпрограммы  "Обеспечение реализации муниципальной программы", муниципальной программы "Развитие сельского хозяйства и регулирование рынков сельскохозяйственной продукции, сырья и продовольствия в Большеулуйском районе" </t>
  </si>
  <si>
    <t>Финансовое обеспечение на реализацию отдельных мер по обеспечению ограничения платы граждан за коммунальные услуги в рамках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</si>
  <si>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</si>
  <si>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661</t>
  </si>
  <si>
    <t>краевые</t>
  </si>
  <si>
    <t>собственные</t>
  </si>
  <si>
    <t>Организация и проведение фестивалей народного, эстрадного, патриотического творчества,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</si>
  <si>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районных национальных праздников:"Янов день", "Сабантуй"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</si>
  <si>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творческих мастерских, лабораторий, мастер-классов, выставок, направленных на сохранение, возрождение, развитие народных промыслов в Большеулуйском районе 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</si>
  <si>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</si>
  <si>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Медицинское сопровождение детей во время проведения спортивных соревнований и при доставке в загородные оздоровительные лагеря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</si>
  <si>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муниципального этапа Всероссийской олимпиады школьников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</si>
  <si>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Аренда жилой площади на территории района специалистов - педагогических работников (молодые специалисты, специалисты приехавшие в район из иных муниципалитетов). Единовременная денежная выплата молодым специалистам  в рамках подпрограммы «Развитие кадрового потенциала отрасли» муниципальной программы «Развитие образования Большеулуйского района»</t>
  </si>
  <si>
    <t>Обеспечение деятельности (оказание услуг) ТПМПК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</si>
  <si>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Проведение спортивно-патриотического мероприятия "За Сибирь",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</si>
  <si>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Проведение фестиваля - конкурса "Ты нужен России",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</si>
  <si>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Организация временного трудоустройства несовершеннолетних граждан в возрасте от 14 до 18 лет, в свободное от учебы время,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</si>
  <si>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10100S4560</t>
  </si>
  <si>
    <t>Приобретение ПТВ для муниципальных пожарных постов и агитационных материалов по ПБ, в рамках подпрограммы "Обеспечение профилактики и тушения пожаров в Большеулуйском районе"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</si>
  <si>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Приобретение информационных, методических материалов для детей и молодёжи, проведение занятий, лекций,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</si>
  <si>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1920000000</t>
  </si>
  <si>
    <t>1930000990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</si>
  <si>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</si>
  <si>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236</t>
  </si>
  <si>
    <t>237</t>
  </si>
  <si>
    <t>238</t>
  </si>
  <si>
    <t>253</t>
  </si>
  <si>
    <t>254</t>
  </si>
  <si>
    <t>287</t>
  </si>
  <si>
    <t>478</t>
  </si>
  <si>
    <t>519</t>
  </si>
  <si>
    <t>525</t>
  </si>
  <si>
    <t>526</t>
  </si>
  <si>
    <t>662</t>
  </si>
  <si>
    <t>663</t>
  </si>
  <si>
    <t>666</t>
  </si>
  <si>
    <t>670</t>
  </si>
  <si>
    <t>671</t>
  </si>
  <si>
    <t>680</t>
  </si>
  <si>
    <t>681</t>
  </si>
  <si>
    <t>682</t>
  </si>
  <si>
    <t>683</t>
  </si>
  <si>
    <t>690</t>
  </si>
  <si>
    <t>696</t>
  </si>
  <si>
    <t>697</t>
  </si>
  <si>
    <t>698</t>
  </si>
  <si>
    <t>702</t>
  </si>
  <si>
    <t>703</t>
  </si>
  <si>
    <t>704</t>
  </si>
  <si>
    <t>Администрация Большеулуйского района Красноярского края</t>
  </si>
  <si>
    <t>10300L4970</t>
  </si>
  <si>
    <t>Субсидия на транспортировку трупов в морг в рамках подпрограммы "Развитие и   модернизация объектов коммунальной  инфраструктуры Большеулуйского района"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</si>
  <si>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0810010490</t>
  </si>
  <si>
    <t>0820010490</t>
  </si>
  <si>
    <t>Подпрограмма "Организация и осуществление бюджетного учета и контроля в финансово-бюджетной сфере Большеулуйского района"</t>
  </si>
  <si>
    <t>1410075170</t>
  </si>
  <si>
    <t>0310</t>
  </si>
  <si>
    <t>Дорожное хозяйство (дорожные фонды)</t>
  </si>
  <si>
    <t>0409</t>
  </si>
  <si>
    <t xml:space="preserve">Муниципальная программа "Развитие транспортной системы" Большеулуйского района </t>
  </si>
  <si>
    <t xml:space="preserve">Подпрограмма "Дороги Большеулуйского района" </t>
  </si>
  <si>
    <t>1210000000</t>
  </si>
  <si>
    <t xml:space="preserve"> "Другие вопросы в области культуры, кинематографии" </t>
  </si>
  <si>
    <t>0804</t>
  </si>
  <si>
    <t>Финансовое обеспечение мероприятий по проведение конкурса на лучшее учреждение культуры Большеулуйского района,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</si>
  <si>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Финансовое обеспечение мероприятий по проведение районных  семинаров, творческих лабораторий, мастер-классов с приглашением иногородних специалистов,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</si>
  <si>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Финансовое обеспечение мероприятий на комплектование книжных фондов библиотек 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</si>
  <si>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мест</t>
  </si>
  <si>
    <t>краев</t>
  </si>
  <si>
    <t>02200S5630</t>
  </si>
  <si>
    <t>02200S6490</t>
  </si>
  <si>
    <t>08400S4880</t>
  </si>
  <si>
    <t>Финансовое обеспечение мероприятий на комплектование книжных фондов библиотек 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</si>
  <si>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09100S4200</t>
  </si>
  <si>
    <t>269</t>
  </si>
  <si>
    <t>705</t>
  </si>
  <si>
    <t>709</t>
  </si>
  <si>
    <t>1490000000</t>
  </si>
  <si>
    <t>1490075180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</si>
  <si>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</si>
  <si>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1402</t>
  </si>
  <si>
    <t>1810027220</t>
  </si>
  <si>
    <t>Иные дотации</t>
  </si>
  <si>
    <t>0107</t>
  </si>
  <si>
    <t>0510010490</t>
  </si>
  <si>
    <t>0410010490</t>
  </si>
  <si>
    <t>0840010490</t>
  </si>
  <si>
    <t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патронажа, в рамках непрограммных расходов отдельных органов исполнительной власти</t>
  </si>
  <si>
    <t>9610002890</t>
  </si>
  <si>
    <t>0910010490</t>
  </si>
  <si>
    <t>Выплаты почетным гражданам Большеулуйского района, в рамках непрограммных расходов отдельных органов исполнительной власти</t>
  </si>
  <si>
    <t>9610000930</t>
  </si>
  <si>
    <t>Возмещение расходов по пассажироперевозкам студентов в рамках непрограммных расходов отдельных органов исполнительной власти</t>
  </si>
  <si>
    <t>9610000940</t>
  </si>
  <si>
    <t>0220010490</t>
  </si>
  <si>
    <t>0250010490</t>
  </si>
  <si>
    <t>Финансовое обеспечение мероприятий на устройство плоскостных спортивных сооружений в сельской местности за счет средств районного бюджета 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</si>
  <si>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9610000950</t>
  </si>
  <si>
    <t>Предоставление пенсии за выслугу лет муниципальным служащим  в рамках непрограммных расходов отдельных органов исполнительной власти</t>
  </si>
  <si>
    <t>Проведение мероприятий направленных на профилактику правонарушений и преступлений среди несовершеннолетних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</si>
  <si>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04100S5750</t>
  </si>
  <si>
    <t>Финансовое обеспечение мероприятий  на строительство, и (или) реконструкцию, и (или) ремонт объектов электроснабжения, водоснабжения, находящихся в собственности муниципальных образований, для обеспечения подключения некоммерческих товариществ к источникам электроснабжения, водоснабжения за счет средств районного бюджета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</si>
  <si>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36</t>
  </si>
  <si>
    <t>41</t>
  </si>
  <si>
    <t>42</t>
  </si>
  <si>
    <t>68</t>
  </si>
  <si>
    <t>150</t>
  </si>
  <si>
    <t>151</t>
  </si>
  <si>
    <t>152</t>
  </si>
  <si>
    <t>153</t>
  </si>
  <si>
    <t>233</t>
  </si>
  <si>
    <t>234</t>
  </si>
  <si>
    <t>235</t>
  </si>
  <si>
    <t>261</t>
  </si>
  <si>
    <t>262</t>
  </si>
  <si>
    <t>335</t>
  </si>
  <si>
    <t>336</t>
  </si>
  <si>
    <t>337</t>
  </si>
  <si>
    <t>343</t>
  </si>
  <si>
    <t>369</t>
  </si>
  <si>
    <t>370</t>
  </si>
  <si>
    <t>371</t>
  </si>
  <si>
    <t>419</t>
  </si>
  <si>
    <t>420</t>
  </si>
  <si>
    <t>421</t>
  </si>
  <si>
    <t>422</t>
  </si>
  <si>
    <t>535</t>
  </si>
  <si>
    <t>553</t>
  </si>
  <si>
    <t>554</t>
  </si>
  <si>
    <t>555</t>
  </si>
  <si>
    <t>619</t>
  </si>
  <si>
    <t>620</t>
  </si>
  <si>
    <t>621</t>
  </si>
  <si>
    <t>656</t>
  </si>
  <si>
    <t>664</t>
  </si>
  <si>
    <t>665</t>
  </si>
  <si>
    <t>679</t>
  </si>
  <si>
    <t>691</t>
  </si>
  <si>
    <t>692</t>
  </si>
  <si>
    <t>0603</t>
  </si>
  <si>
    <t>Организация мероприятий по обеспечению туристическим снаряжением для проживания участников в палаточных лагерях и спортивным оборудованием для проведения спортивных соревнований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</si>
  <si>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0410</t>
  </si>
  <si>
    <t>Дотации поселениям на выравнивание бюджетной обеспеченности  за счет средств субвенции из краевого бюджета на осуществление отдельных государственных полномочий по расчету и предоставлению дотаций поселениям,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Большеулуйского района" муниципальной  программы Большеулуйского района «Управление государственными финансами»</t>
  </si>
  <si>
    <t>Контрольно-счетный орган Большеулуйского района</t>
  </si>
  <si>
    <t>Глава исполнительного органа местного самоуправления муниципального района в рамках непрограммных расходов исполнительного органа власти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</si>
  <si>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Большеулуйскому району в рамках непрограммных расходов отдельных органов исполнительной власти</t>
  </si>
  <si>
    <t>Проведение конкурсов, фестивалей, соревнований с целью выявления одарённых и талантливых детей Большеулуйского района. Софинансирование за участие в краевых конкурсах по условиям Положений. Оплата за участие высокомотивированных обучающихся в выездных интенсивных предметных школах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</si>
  <si>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1010010490</t>
  </si>
  <si>
    <t>1990000000</t>
  </si>
  <si>
    <t>19900S4660</t>
  </si>
  <si>
    <t>Мероприятие на организацию отдыха детей и их оздоровление за счёт средств районного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</si>
  <si>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работы муниципального опорного центра дополнительного образования (МОЦ)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</si>
  <si>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0503</t>
  </si>
  <si>
    <t>местные</t>
  </si>
  <si>
    <t>Финансовое обеспечение мероприятий на проведение работ в общеобразовательных организациях с целью приведения зданий и сооружений в соответствие требованиям надзорных органов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</si>
  <si>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мероприятий на проведение работ в общеобразовательных организациях с целью приведения зданий и сооружений в соответствие требованиям надзорных органов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</si>
  <si>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Дотации на выравнивание уровня бюджетной обеспеченности поселений района  за счёт средств районного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</si>
  <si>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Отдельное мероприятие</t>
  </si>
  <si>
    <t>Иные межбюджетные трансферты  бюджетам муниципальных образований района на повышение надежности функционирования систем жизнеобеспечения граждан сельских поселений в рамках отдельного мероприятия муниципальной программы "Реформирование и модернизация жилищно-коммунального хозяйства и повышение энергетической эффективности в Большеулуйском районе"</t>
  </si>
  <si>
    <t>,</t>
  </si>
  <si>
    <t>02200L3040</t>
  </si>
  <si>
    <t>Финансовое обеспечение  на организацию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</si>
  <si>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Охрана окружающей среды</t>
  </si>
  <si>
    <t>0600</t>
  </si>
  <si>
    <t>Охрана объектов растительного и животного мира и среды их обитания</t>
  </si>
  <si>
    <t>Финансовое обеспечение государственных полномочий по организации проведения мероприятий при осуществлении деятельности по обращению с  животными без владельцев,  в рамках отдельного мероприятия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</si>
  <si>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62</t>
  </si>
  <si>
    <t>69</t>
  </si>
  <si>
    <t>70</t>
  </si>
  <si>
    <t>71</t>
  </si>
  <si>
    <t>72</t>
  </si>
  <si>
    <t>121</t>
  </si>
  <si>
    <t>142</t>
  </si>
  <si>
    <t>143</t>
  </si>
  <si>
    <t>164</t>
  </si>
  <si>
    <t>165</t>
  </si>
  <si>
    <t>166</t>
  </si>
  <si>
    <t>182</t>
  </si>
  <si>
    <t>183</t>
  </si>
  <si>
    <t>191</t>
  </si>
  <si>
    <t>192</t>
  </si>
  <si>
    <t>205</t>
  </si>
  <si>
    <t>243</t>
  </si>
  <si>
    <t>305</t>
  </si>
  <si>
    <t>306</t>
  </si>
  <si>
    <t>319</t>
  </si>
  <si>
    <t>321</t>
  </si>
  <si>
    <t>322</t>
  </si>
  <si>
    <t>323</t>
  </si>
  <si>
    <t>324</t>
  </si>
  <si>
    <t>344</t>
  </si>
  <si>
    <t>354</t>
  </si>
  <si>
    <t>355</t>
  </si>
  <si>
    <t>356</t>
  </si>
  <si>
    <t>357</t>
  </si>
  <si>
    <t>358</t>
  </si>
  <si>
    <t>375</t>
  </si>
  <si>
    <t>376</t>
  </si>
  <si>
    <t>377</t>
  </si>
  <si>
    <t>378</t>
  </si>
  <si>
    <t>379</t>
  </si>
  <si>
    <t>380</t>
  </si>
  <si>
    <t>391</t>
  </si>
  <si>
    <t>405</t>
  </si>
  <si>
    <t>406</t>
  </si>
  <si>
    <t>424</t>
  </si>
  <si>
    <t>425</t>
  </si>
  <si>
    <t>448</t>
  </si>
  <si>
    <t>449</t>
  </si>
  <si>
    <t>450</t>
  </si>
  <si>
    <t>451</t>
  </si>
  <si>
    <t>452</t>
  </si>
  <si>
    <t>453</t>
  </si>
  <si>
    <t>454</t>
  </si>
  <si>
    <t>516</t>
  </si>
  <si>
    <t>517</t>
  </si>
  <si>
    <t>518</t>
  </si>
  <si>
    <t>539</t>
  </si>
  <si>
    <t>592</t>
  </si>
  <si>
    <t>593</t>
  </si>
  <si>
    <t>594</t>
  </si>
  <si>
    <t>595</t>
  </si>
  <si>
    <t>596</t>
  </si>
  <si>
    <t>597</t>
  </si>
  <si>
    <t>598</t>
  </si>
  <si>
    <t>599</t>
  </si>
  <si>
    <t>606</t>
  </si>
  <si>
    <t>607</t>
  </si>
  <si>
    <t>608</t>
  </si>
  <si>
    <t>615</t>
  </si>
  <si>
    <t>616</t>
  </si>
  <si>
    <t>617</t>
  </si>
  <si>
    <t>636</t>
  </si>
  <si>
    <t>672</t>
  </si>
  <si>
    <t>693</t>
  </si>
  <si>
    <t>694</t>
  </si>
  <si>
    <t>695</t>
  </si>
  <si>
    <t>0490082030</t>
  </si>
  <si>
    <t>1810080010</t>
  </si>
  <si>
    <t>0830000980</t>
  </si>
  <si>
    <t>Обеспечение деятельности (оказание услуг) подведомственных учреждений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</si>
  <si>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Обеспечение деятельности (оказание услуг) подведомственных учреждений 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</t>
  </si>
  <si>
    <t>1910089010</t>
  </si>
  <si>
    <t>1920089020</t>
  </si>
  <si>
    <t>1930089030</t>
  </si>
  <si>
    <t>0410082020</t>
  </si>
  <si>
    <t>0410000980</t>
  </si>
  <si>
    <t>Обеспечение деятельности (оказание услуг) подведомственных учреждений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</si>
  <si>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Обеспечение деятельности (оказание услуг) подведомственных учреждений в рамках отдельных мероприятий муниципальной программы Большеулуйского района "Реформирование и модернизация жилищно-коммунального хозяйства"</t>
  </si>
  <si>
    <t>0490000980</t>
  </si>
  <si>
    <t>0510083010</t>
  </si>
  <si>
    <t>0510083020</t>
  </si>
  <si>
    <t>Обеспечение деятельности (оказание услуг) подведомственных учреждений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</si>
  <si>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0510000980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</si>
  <si>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</si>
  <si>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0520083030</t>
  </si>
  <si>
    <t>0540083060</t>
  </si>
  <si>
    <t>0540083070</t>
  </si>
  <si>
    <t>Приобретение методических, учебных материалов по тематике в области гражданской обороны, при возникновении чрезвычайных ситуаций, проведение лекций, занятий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</si>
  <si>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0530083040</t>
  </si>
  <si>
    <t>0530083050</t>
  </si>
  <si>
    <t>1220088010</t>
  </si>
  <si>
    <t>1120087030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</si>
  <si>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</si>
  <si>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Обеспечение деятельности (оказание услуг) подведомственных учреждений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</si>
  <si>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0840000980</t>
  </si>
  <si>
    <t>1010086010</t>
  </si>
  <si>
    <t>1010086110</t>
  </si>
  <si>
    <t>Обеспечение деятельности (оказание услуг) подведомственных учреждений  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</si>
  <si>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1010000980</t>
  </si>
  <si>
    <t>1020086130</t>
  </si>
  <si>
    <t>1020086140</t>
  </si>
  <si>
    <t>0810000980</t>
  </si>
  <si>
    <t>Обеспечение деятельности (оказание услуг) подведомственных учреждений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</si>
  <si>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0820084010</t>
  </si>
  <si>
    <t>0820084020</t>
  </si>
  <si>
    <t>0820084030</t>
  </si>
  <si>
    <t>0820084040</t>
  </si>
  <si>
    <t>Обеспечение деятельности (оказание услуг) подведомственных учреждений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</si>
  <si>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0820000980</t>
  </si>
  <si>
    <t>0840084050</t>
  </si>
  <si>
    <t>0840084070</t>
  </si>
  <si>
    <t>Обеспечение деятельности (оказание услуг) подведомственных учреждений 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</si>
  <si>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0910085010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</si>
  <si>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</si>
  <si>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Обеспечение деятельности (оказание услуг) подведомственных учреждений  в рамках подпрограммы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</si>
  <si>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0910000980</t>
  </si>
  <si>
    <t>Обеспечение деятельности (оказание услуг) подведомственных учреждений   в рамках подпрограммы «Обеспечение реализации муниципальной программы и прочие мероприятия»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</si>
  <si>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Обеспечение деятельности (оказание услуг) подведомственных учреждений в рамках подпрограммы "Развитие дошкольного, общего образования детей" муниципальной программы "Развитие образования Большеулуйского района"</t>
  </si>
  <si>
    <t>0220000980</t>
  </si>
  <si>
    <t>0220081020</t>
  </si>
  <si>
    <t>0220081040</t>
  </si>
  <si>
    <t>0220081030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</si>
  <si>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</si>
  <si>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0220081090</t>
  </si>
  <si>
    <t>0220081240</t>
  </si>
  <si>
    <t>0220081160</t>
  </si>
  <si>
    <t>0220081080</t>
  </si>
  <si>
    <t>0220081100</t>
  </si>
  <si>
    <t>0220081110</t>
  </si>
  <si>
    <t>0220081130</t>
  </si>
  <si>
    <t>0220081140</t>
  </si>
  <si>
    <t>0230081010</t>
  </si>
  <si>
    <t>0230081050</t>
  </si>
  <si>
    <t>0230081060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</si>
  <si>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программы, прочие мероприятия в области образования" муниципальной программы "Развитие образования Большеулуйского района"</t>
  </si>
  <si>
    <t>0250081200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</si>
  <si>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</si>
  <si>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</si>
  <si>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</si>
  <si>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Финансовое обеспечение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районного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</si>
  <si>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462</t>
  </si>
  <si>
    <t>463</t>
  </si>
  <si>
    <t>464</t>
  </si>
  <si>
    <t>0240081150</t>
  </si>
  <si>
    <t>0220081170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</si>
  <si>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</si>
  <si>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</si>
  <si>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</si>
  <si>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1403</t>
  </si>
  <si>
    <t>0240081180</t>
  </si>
  <si>
    <t>Подпрограмма "Профилактика правонарушений на территории Большеулуйского района"</t>
  </si>
  <si>
    <t>0550000000</t>
  </si>
  <si>
    <t>Поощрение граждан, оказывающих содействие в охране общественного порядка,  в рамках подпрограммы   «Профилактика правонарушений на территории Большеулуйского района»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</si>
  <si>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0550083090</t>
  </si>
  <si>
    <t>0550083100</t>
  </si>
  <si>
    <t>Приобретение формы и технических средств для обеспечения деятельности добровольной народной дружины, в рамках подпрограммы   «Профилактика правонарушений на территории Большеулуйского района»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</si>
  <si>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0605</t>
  </si>
  <si>
    <t>217</t>
  </si>
  <si>
    <t>218</t>
  </si>
  <si>
    <t>219</t>
  </si>
  <si>
    <t>220</t>
  </si>
  <si>
    <t>221</t>
  </si>
  <si>
    <t>222</t>
  </si>
  <si>
    <t>226</t>
  </si>
  <si>
    <t>227</t>
  </si>
  <si>
    <t>228</t>
  </si>
  <si>
    <t>229</t>
  </si>
  <si>
    <t>393</t>
  </si>
  <si>
    <t>394</t>
  </si>
  <si>
    <t>395</t>
  </si>
  <si>
    <t>401</t>
  </si>
  <si>
    <t>402</t>
  </si>
  <si>
    <t>403</t>
  </si>
  <si>
    <t>404</t>
  </si>
  <si>
    <t>423</t>
  </si>
  <si>
    <t>437</t>
  </si>
  <si>
    <t>438</t>
  </si>
  <si>
    <t>439</t>
  </si>
  <si>
    <t>506</t>
  </si>
  <si>
    <t>536</t>
  </si>
  <si>
    <t>537</t>
  </si>
  <si>
    <t>538</t>
  </si>
  <si>
    <t>557</t>
  </si>
  <si>
    <t>585</t>
  </si>
  <si>
    <t>586</t>
  </si>
  <si>
    <t>587</t>
  </si>
  <si>
    <t>657</t>
  </si>
  <si>
    <t>658</t>
  </si>
  <si>
    <t>659</t>
  </si>
  <si>
    <t>706</t>
  </si>
  <si>
    <t>707</t>
  </si>
  <si>
    <t>708</t>
  </si>
  <si>
    <t>362</t>
  </si>
  <si>
    <t>Субсидия на погребение умерших не имеющих родственников в рамках подпрограммы "Развитие и   модернизация объектов коммунальной  инфраструктуры Большеулуйского района"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</si>
  <si>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0410082030</t>
  </si>
  <si>
    <t>Руководство и управление в сфере установленных функций, в рамках подпрограммы "Обеспечение реализации муниципальной программы и прочие мероприятия" муниципальной программы Большеулуйского района "Эффективное управление муниципальным имуществом и земельными отношениями "</t>
  </si>
  <si>
    <t>м</t>
  </si>
  <si>
    <t>к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</si>
  <si>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за счет средств краевого бюджета в рамках подпрограммы «Развитие дошкольного, общего и дополнительного образования»муниципальной программы «Развитие образования Большеулуйского района»</t>
  </si>
  <si>
    <t>0240075870</t>
  </si>
  <si>
    <t>Финансовое обеспечение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</si>
  <si>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022Е251690</t>
  </si>
  <si>
    <t>1210088020</t>
  </si>
  <si>
    <t>53</t>
  </si>
  <si>
    <t>54</t>
  </si>
  <si>
    <t>55</t>
  </si>
  <si>
    <t>56</t>
  </si>
  <si>
    <t>60</t>
  </si>
  <si>
    <t>61</t>
  </si>
  <si>
    <t>176</t>
  </si>
  <si>
    <t>177</t>
  </si>
  <si>
    <t>178</t>
  </si>
  <si>
    <t>179</t>
  </si>
  <si>
    <t>180</t>
  </si>
  <si>
    <t>181</t>
  </si>
  <si>
    <t>198</t>
  </si>
  <si>
    <t>199</t>
  </si>
  <si>
    <t>250</t>
  </si>
  <si>
    <t>251</t>
  </si>
  <si>
    <t>252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</si>
  <si>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</si>
  <si>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</si>
  <si>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</si>
  <si>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</si>
  <si>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</si>
  <si>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</si>
  <si>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</si>
  <si>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</si>
  <si>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</si>
  <si>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359</t>
  </si>
  <si>
    <t>360</t>
  </si>
  <si>
    <t>361</t>
  </si>
  <si>
    <t>381</t>
  </si>
  <si>
    <t>382</t>
  </si>
  <si>
    <t>383</t>
  </si>
  <si>
    <t>384</t>
  </si>
  <si>
    <t>385</t>
  </si>
  <si>
    <t>386</t>
  </si>
  <si>
    <t>398</t>
  </si>
  <si>
    <t>399</t>
  </si>
  <si>
    <t>411</t>
  </si>
  <si>
    <t>412</t>
  </si>
  <si>
    <t>416</t>
  </si>
  <si>
    <t>417</t>
  </si>
  <si>
    <t>418</t>
  </si>
  <si>
    <t>430</t>
  </si>
  <si>
    <t>431</t>
  </si>
  <si>
    <t>512</t>
  </si>
  <si>
    <t>513</t>
  </si>
  <si>
    <t>514</t>
  </si>
  <si>
    <t>515</t>
  </si>
  <si>
    <t>529</t>
  </si>
  <si>
    <t>541</t>
  </si>
  <si>
    <t>548</t>
  </si>
  <si>
    <t>549</t>
  </si>
  <si>
    <t>550</t>
  </si>
  <si>
    <t>551</t>
  </si>
  <si>
    <t>552</t>
  </si>
  <si>
    <t>558</t>
  </si>
  <si>
    <t>559</t>
  </si>
  <si>
    <t>560</t>
  </si>
  <si>
    <t>589</t>
  </si>
  <si>
    <t>590</t>
  </si>
  <si>
    <t>591</t>
  </si>
  <si>
    <t>622</t>
  </si>
  <si>
    <t>623</t>
  </si>
  <si>
    <t>624</t>
  </si>
  <si>
    <t>625</t>
  </si>
  <si>
    <t>626</t>
  </si>
  <si>
    <t>627</t>
  </si>
  <si>
    <t>634</t>
  </si>
  <si>
    <t>635</t>
  </si>
  <si>
    <t>684</t>
  </si>
  <si>
    <t>685</t>
  </si>
  <si>
    <t>686</t>
  </si>
  <si>
    <t>687</t>
  </si>
  <si>
    <t>688</t>
  </si>
  <si>
    <t>689</t>
  </si>
  <si>
    <t>710</t>
  </si>
  <si>
    <t xml:space="preserve">Иные межбюджетные трансферты  бюджетам муниципальных образований района на содержание автомобильных дорог общего пользования местного значения за счет средств районного бюджета в рамках подпрограммы «Дороги Большеулуйского района» муниципальной программы Большеулуйского района «Развитие транспортной системы» </t>
  </si>
  <si>
    <t>Дотации на частичную компенсацию расходов на частичную компенсацию расходов на оплату труда работников муниципальных учреждений  за счёт средств краевого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</si>
  <si>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9510000960</t>
  </si>
  <si>
    <t>9510000970</t>
  </si>
  <si>
    <t xml:space="preserve">Отдельное мероприятие "Организация  мероприятий при осуществлении деятельности по обращению с  животными без владельцев" </t>
  </si>
  <si>
    <t>Отдельное мероприятие "На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территории"</t>
  </si>
  <si>
    <t>Благоустройство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</si>
  <si>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</si>
  <si>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Финансовое обеспечение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</si>
  <si>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Субсидии  субъектам малого и среднего предпринимательства и физическим лицам, применяющим специальный налоговый режим «Налог на профессиональный доход» на возмещение затрат при осуществлении предпринимательской деятельности в Большеулуйском районе, за счет средств районного бюджета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</si>
  <si>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11200S6070</t>
  </si>
  <si>
    <t>0240078460</t>
  </si>
  <si>
    <t>Другие вопросы в области охраны окружиющей среды</t>
  </si>
  <si>
    <t>Иные межбюджетные трансферты  бюджетам муниципальных образований района   на сохранение и реставрацию памятников ВОВ в рамках подпрограммы «Развитие и модернизация объектов коммунальной инфраструктуры Большеулуйского района» муниципальной программы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</si>
  <si>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0410082040</t>
  </si>
  <si>
    <t>0840084030</t>
  </si>
  <si>
    <t>Предоставление питания дошкольникам дошкольных образовательных организаций и обучающимся в муниципальных образовательных организациях, реализующих основные общеобразовательные программы, за счет средств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</si>
  <si>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Мероприятия,направленные на реализацию приоритетного национального проекта  "Образование", создание безопасных и комфортных условий и развитие предметно-пространственной среды в сфере дошкольного  образования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</si>
  <si>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Мероприятия,направленные на реализацию приоритетного национального проекта  "Образование", создание безопасных и комфортных условий и развитие образовательной среды  в сфере общего и дополнительного образования,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</si>
  <si>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мероприятий по проведению независимой оценки качества  условий оказания услуг организациями культуры,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</si>
  <si>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13</t>
  </si>
  <si>
    <t>14</t>
  </si>
  <si>
    <t>15</t>
  </si>
  <si>
    <t>29</t>
  </si>
  <si>
    <t>30</t>
  </si>
  <si>
    <t>31</t>
  </si>
  <si>
    <t>32</t>
  </si>
  <si>
    <t>33</t>
  </si>
  <si>
    <t>34</t>
  </si>
  <si>
    <t>35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</si>
  <si>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</si>
  <si>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</si>
  <si>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</si>
  <si>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</si>
  <si>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</si>
  <si>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</si>
  <si>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</si>
  <si>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</si>
  <si>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</si>
  <si>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</si>
  <si>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57</t>
  </si>
  <si>
    <t>58</t>
  </si>
  <si>
    <t>59</t>
  </si>
  <si>
    <t>63</t>
  </si>
  <si>
    <t>64</t>
  </si>
  <si>
    <t>65</t>
  </si>
  <si>
    <t>66</t>
  </si>
  <si>
    <t>67</t>
  </si>
  <si>
    <t>73</t>
  </si>
  <si>
    <t>74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</si>
  <si>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</si>
  <si>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</si>
  <si>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</si>
  <si>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</si>
  <si>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</si>
  <si>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</si>
  <si>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</si>
  <si>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</si>
  <si>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</si>
  <si>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</si>
  <si>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</si>
  <si>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</si>
  <si>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</si>
  <si>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</si>
  <si>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119</t>
  </si>
  <si>
    <t>141</t>
  </si>
  <si>
    <t>154</t>
  </si>
  <si>
    <t>155</t>
  </si>
  <si>
    <t>156</t>
  </si>
  <si>
    <t>173</t>
  </si>
  <si>
    <t>174</t>
  </si>
  <si>
    <t>175</t>
  </si>
  <si>
    <t>185</t>
  </si>
  <si>
    <t>186</t>
  </si>
  <si>
    <t>187</t>
  </si>
  <si>
    <t>188</t>
  </si>
  <si>
    <t>189</t>
  </si>
  <si>
    <t>190</t>
  </si>
  <si>
    <t>206</t>
  </si>
  <si>
    <t>207</t>
  </si>
  <si>
    <t>208</t>
  </si>
  <si>
    <t>212</t>
  </si>
  <si>
    <t>213</t>
  </si>
  <si>
    <t>223</t>
  </si>
  <si>
    <t>224</t>
  </si>
  <si>
    <t>225</t>
  </si>
  <si>
    <t>241</t>
  </si>
  <si>
    <t>242</t>
  </si>
  <si>
    <t>275</t>
  </si>
  <si>
    <t>282</t>
  </si>
  <si>
    <t>283</t>
  </si>
  <si>
    <t>284</t>
  </si>
  <si>
    <t>285</t>
  </si>
  <si>
    <t>286</t>
  </si>
  <si>
    <t>307</t>
  </si>
  <si>
    <t>308</t>
  </si>
  <si>
    <t>309</t>
  </si>
  <si>
    <t>311</t>
  </si>
  <si>
    <t>312</t>
  </si>
  <si>
    <t>313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</si>
  <si>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</si>
  <si>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</si>
  <si>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</si>
  <si>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</si>
  <si>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</si>
  <si>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</si>
  <si>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</si>
  <si>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</si>
  <si>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</si>
  <si>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363</t>
  </si>
  <si>
    <t>364</t>
  </si>
  <si>
    <t>365</t>
  </si>
  <si>
    <t>366</t>
  </si>
  <si>
    <t>367</t>
  </si>
  <si>
    <t>368</t>
  </si>
  <si>
    <t>372</t>
  </si>
  <si>
    <t>373</t>
  </si>
  <si>
    <t>374</t>
  </si>
  <si>
    <t>388</t>
  </si>
  <si>
    <t>389</t>
  </si>
  <si>
    <t>390</t>
  </si>
  <si>
    <t>407</t>
  </si>
  <si>
    <t>408</t>
  </si>
  <si>
    <t>409</t>
  </si>
  <si>
    <t>413</t>
  </si>
  <si>
    <t>414</t>
  </si>
  <si>
    <t>415</t>
  </si>
  <si>
    <t>427</t>
  </si>
  <si>
    <t>428</t>
  </si>
  <si>
    <t>429</t>
  </si>
  <si>
    <t>435</t>
  </si>
  <si>
    <t>436</t>
  </si>
  <si>
    <t>440</t>
  </si>
  <si>
    <t>441</t>
  </si>
  <si>
    <t>442</t>
  </si>
  <si>
    <t>443</t>
  </si>
  <si>
    <t>444</t>
  </si>
  <si>
    <t>445</t>
  </si>
  <si>
    <t>446</t>
  </si>
  <si>
    <t>447</t>
  </si>
  <si>
    <t>458</t>
  </si>
  <si>
    <t>459</t>
  </si>
  <si>
    <t>460</t>
  </si>
  <si>
    <t>471</t>
  </si>
  <si>
    <t>472</t>
  </si>
  <si>
    <t>473</t>
  </si>
  <si>
    <t>474</t>
  </si>
  <si>
    <t>475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</si>
  <si>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</si>
  <si>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</si>
  <si>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</si>
  <si>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</si>
  <si>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</si>
  <si>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</si>
  <si>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</si>
  <si>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</si>
  <si>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</si>
  <si>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</si>
  <si>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</si>
  <si>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</si>
  <si>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</si>
  <si>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</si>
  <si>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</si>
  <si>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</si>
  <si>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</si>
  <si>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</si>
  <si>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</si>
  <si>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</si>
  <si>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</si>
  <si>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</si>
  <si>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</si>
  <si>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</si>
  <si>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</si>
  <si>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</si>
  <si>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509</t>
  </si>
  <si>
    <t>511</t>
  </si>
  <si>
    <t>532</t>
  </si>
  <si>
    <t>533</t>
  </si>
  <si>
    <t>534</t>
  </si>
  <si>
    <t>542</t>
  </si>
  <si>
    <t>543</t>
  </si>
  <si>
    <t>544</t>
  </si>
  <si>
    <t>545</t>
  </si>
  <si>
    <t>546</t>
  </si>
  <si>
    <t>547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</si>
  <si>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</si>
  <si>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</si>
  <si>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</si>
  <si>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</si>
  <si>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</si>
  <si>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</si>
  <si>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</si>
  <si>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</si>
  <si>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</si>
  <si>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</si>
  <si>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</si>
  <si>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</si>
  <si>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</si>
  <si>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</si>
  <si>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</si>
  <si>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</si>
  <si>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</si>
  <si>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</si>
  <si>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</si>
  <si>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</si>
  <si>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</si>
  <si>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603</t>
  </si>
  <si>
    <t>604</t>
  </si>
  <si>
    <t>605</t>
  </si>
  <si>
    <t>631</t>
  </si>
  <si>
    <t>632</t>
  </si>
  <si>
    <t>633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</si>
  <si>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</si>
  <si>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</si>
  <si>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</si>
  <si>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</si>
  <si>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</si>
  <si>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</si>
  <si>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</si>
  <si>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</si>
  <si>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</si>
  <si>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667</t>
  </si>
  <si>
    <t>668</t>
  </si>
  <si>
    <t>669</t>
  </si>
  <si>
    <t>673</t>
  </si>
  <si>
    <t>674</t>
  </si>
  <si>
    <t>675</t>
  </si>
  <si>
    <t>676</t>
  </si>
  <si>
    <t>677</t>
  </si>
  <si>
    <t>678</t>
  </si>
  <si>
    <t>699</t>
  </si>
  <si>
    <t>701</t>
  </si>
  <si>
    <t>Финансовое обеспечение на поддержку деятельности муниципальных молодежных центров за счет средств краевого бюджета,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</si>
  <si>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Финансовое обеспечение на поддержку деятельности муниципальных молодежных центров за счет средств районного бюджета,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</si>
  <si>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136</t>
  </si>
  <si>
    <t>138</t>
  </si>
  <si>
    <t>139</t>
  </si>
  <si>
    <t>140</t>
  </si>
  <si>
    <t xml:space="preserve"> Гражданская оборона</t>
  </si>
  <si>
    <t xml:space="preserve"> "Обеспечение пожарной безопасности"</t>
  </si>
  <si>
    <t>Иные межбюджетные трансферты  бюджетам муниципальных образований района на обеспечение первичных мер пожарной безопасности в рамках подпрограммы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муниципального характера" муниципальной программы Большеулуйского района "Защита населения и территории Большеулуйского района от чрезвычайных ситуаций природного и техногенного характера"</t>
  </si>
  <si>
    <t>0510074120</t>
  </si>
  <si>
    <t>Здравоохранение</t>
  </si>
  <si>
    <t>0900</t>
  </si>
  <si>
    <t>Другие вопросы в области здравоохранения</t>
  </si>
  <si>
    <t>Иные межбюджетные трансферты  бюджетам муниципальных образований района на организацию и проведение акарицидных обработок мест массового отдыха населения, в рамках непрограммных расходов отдельных органов исполнительной власти</t>
  </si>
  <si>
    <t>9620075550</t>
  </si>
  <si>
    <t>Иные межбюджетные трансферты  бюджетам муниципальных образований района   на обустройство и восстановление воинских захоронений в рамках подпрограммы «Развитие и модернизация объектов коммунальной инфраструктуры Большеулуйского района» муниципальной программы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</si>
  <si>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04100L2990</t>
  </si>
  <si>
    <t>Предоставление социальных выплат молодым семьям на приобретение (строительство жилья) за счёт средств краевого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</si>
  <si>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Связь и информатика</t>
  </si>
  <si>
    <t>Финансовое обеспечение мероприятий на создание условий для развития услуг связи в малочисленных и труднодоступных населенных пунктах Красноярского края, за счет средств краевого бюджета в рамках 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</si>
  <si>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049D276450</t>
  </si>
  <si>
    <t>Финансовое обеспечение мероприятий на создание условий для развития услуг связи в малочисленных и труднодоступных населенных пунктах Красноярского края, за счет средств районного бюджета в рамках 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</si>
  <si>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0410082010</t>
  </si>
  <si>
    <t>Иные межбюджетные трансферты бюджетам муниципальных образований района  на ликвидацию несанкционированных свалок в рамках подпрограммы "Развитие и   модернизация объектов коммунальной  инфраструктуры Большеулуйского района"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</si>
  <si>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 xml:space="preserve">Отдельное мероприятие "На капитальный ремонт и ремонт автомобильных дорог Большеулуйского района" </t>
  </si>
  <si>
    <t>1290000000</t>
  </si>
  <si>
    <t>Финансовое обеспечение мероприятий на капитальный ремонт и ремонт автомобильных дорог общего пользования местного значения для исполнения судебного решения  за счет средств районного бюджета  в рамках отдельного мероприятия  "На капитальный ремонт и ремонт автомобильных дорог Большеулуйского района"  муниципальной программы Большеулуйского района «Развитие транспортной системы»</t>
  </si>
  <si>
    <t>830</t>
  </si>
  <si>
    <t>Исполнение судебных актов</t>
  </si>
  <si>
    <t>Возмещение расходов на проезд студентам поступившим по квоте от района в рамках непрограммных расходов отдельных органов исполнительной власти</t>
  </si>
  <si>
    <t>084А255195</t>
  </si>
  <si>
    <t>Субсидия бюджетным учреждениям отрасли культуры (поддержка лучших сельских учреждений культуры)за счет средств краевого бюджета,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</si>
  <si>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084А255196</t>
  </si>
  <si>
    <t>Финансовое  обеспечение (возмещение) расходов,связанных с предоставлением мер социальной поддержки в сфере  дошкольного и общего образования детей из семей лиц, принимающих участие в специальной военной операции,в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</si>
  <si>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0220008530</t>
  </si>
  <si>
    <t>Ежемесячное денежное вознаграждение за классное руководство педагогическим работникам муниципальных образовательных организаций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</si>
  <si>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0220053030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</si>
  <si>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краевого бюджета в рамках подпрограммы «Развитие дошкольного, общего и дополнительного образования»муниципальной программы «Развитие образования Большеулуйского района»</t>
  </si>
  <si>
    <t>022ЕB51790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</si>
  <si>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</si>
  <si>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</si>
  <si>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</si>
  <si>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</si>
  <si>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</si>
  <si>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</si>
  <si>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</si>
  <si>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</si>
  <si>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</si>
  <si>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</si>
  <si>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</si>
  <si>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</si>
  <si>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</si>
  <si>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</si>
  <si>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</si>
  <si>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</si>
  <si>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</si>
  <si>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</si>
  <si>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</si>
  <si>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</si>
  <si>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</si>
  <si>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</si>
  <si>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</si>
  <si>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</si>
  <si>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</si>
  <si>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</si>
  <si>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</si>
  <si>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</si>
  <si>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</si>
  <si>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</si>
  <si>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</si>
  <si>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</si>
  <si>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</si>
  <si>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</si>
  <si>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</si>
  <si>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</si>
  <si>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</si>
  <si>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</si>
  <si>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</si>
  <si>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</si>
  <si>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</si>
  <si>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</si>
  <si>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</si>
  <si>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</si>
  <si>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</si>
  <si>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</si>
  <si>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</si>
  <si>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</si>
  <si>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</si>
  <si>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</si>
  <si>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</si>
  <si>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</si>
  <si>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</si>
  <si>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</si>
  <si>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</si>
  <si>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</si>
  <si>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</si>
  <si>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</si>
  <si>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</si>
  <si>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</si>
  <si>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</si>
  <si>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</si>
  <si>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</si>
  <si>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</si>
  <si>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</si>
  <si>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</si>
  <si>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</si>
  <si>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</si>
  <si>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</si>
  <si>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</si>
  <si>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</si>
  <si>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</si>
  <si>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</si>
  <si>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</si>
  <si>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</si>
  <si>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</si>
  <si>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</si>
  <si>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</si>
  <si>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</si>
  <si>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</si>
  <si>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</si>
  <si>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</si>
  <si>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</si>
  <si>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</si>
  <si>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</si>
  <si>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</si>
  <si>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</si>
  <si>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</si>
  <si>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</si>
  <si>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</si>
  <si>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</si>
  <si>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</si>
  <si>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</si>
  <si>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</si>
  <si>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Финансовое обеспечение  мероприятий на поддержку физкультурно-спортивных клубов по месту жительства за счёт средств краевого бюджета 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</si>
  <si>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0910074180</t>
  </si>
  <si>
    <t>807</t>
  </si>
  <si>
    <t>808</t>
  </si>
  <si>
    <t>809</t>
  </si>
  <si>
    <t>9610000960</t>
  </si>
  <si>
    <t>Субсидия бюджетным учреждениям  отрасли культуры (поддержка лучших работников сельских учреждений культуры) за счет средств краевого бюджета,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</si>
  <si>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Субсидия бюджетным учреждением отрасли культуры (модернизацию библиотек в части комплектования книжных фондов библиотек) 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</si>
  <si>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Субсидия бюджетным учреждением  отрасли культуры (модернизацию библиотек в части комплектования книжных фондов библиотек) 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</si>
  <si>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Финансовое обеспечение мероприятий  на обустройство мест (площадок) накопления отходов потребления и (или) приобретение контейнерного оборудования за счет средств районного бюджета  в рамках отдельных мероприятий муниципальной программы Большеулуйского района "Реформирование и модернизация жилищно-коммунального хозяйства"</t>
  </si>
  <si>
    <t>04900S4630</t>
  </si>
  <si>
    <t>0220081190</t>
  </si>
  <si>
    <t>Обеспечение возврата средств из бюджета района в связи с недостижением показателей результативности использования средств субсидии на обеспечении муниципальных физкультурно-спортивных организаций и муниципальных организаций дополнительного образования, осуществляющих деятельность в области физической культуры и спорта, осуществляющих подготовку спортивного резерва для спортивных сборных команд Красноярского края в соответствии с требованием федеральных стандартов спортивной подготовки в 2022 году , в рамках подпрограммы "Развитие дошкольного,общего образования детей"муницыпальной программы Большеулуйского района "Развитие образования Большеулуйского района"</t>
  </si>
  <si>
    <t>465</t>
  </si>
  <si>
    <t>466</t>
  </si>
  <si>
    <t>467</t>
  </si>
  <si>
    <t>468</t>
  </si>
  <si>
    <t>469</t>
  </si>
  <si>
    <t>470</t>
  </si>
  <si>
    <t>811</t>
  </si>
  <si>
    <t>812</t>
  </si>
  <si>
    <t>813</t>
  </si>
  <si>
    <t>814</t>
  </si>
  <si>
    <t>815</t>
  </si>
  <si>
    <t>816</t>
  </si>
  <si>
    <t>817</t>
  </si>
  <si>
    <t>0490082040</t>
  </si>
  <si>
    <t>Финансовое обеспечение мероприятий на проведение ремонта учреждения социальной сферы в рамках 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</si>
  <si>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818</t>
  </si>
  <si>
    <t>819</t>
  </si>
  <si>
    <t>820</t>
  </si>
  <si>
    <t>824</t>
  </si>
  <si>
    <t>825</t>
  </si>
  <si>
    <t>826</t>
  </si>
  <si>
    <t>829</t>
  </si>
  <si>
    <t>831</t>
  </si>
  <si>
    <t>1810027240</t>
  </si>
  <si>
    <t>Дотации на частичную компенсацию расходов на частичную компенсацию расходов на повышение оплаты труда отдельным категориям работников бюджетной сферы за счёт средств краевого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</si>
  <si>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Финансовое обеспечение  на частичную компенсацию расходов на повышение оплаты труда отдельным категориям работников бюджетной сферы в рамках подпрограммы «Обеспечение реализации муниципальной программы и прочие мероприятия» муниципальной программы Большеулуйского района «Управление муниципальными финансами»</t>
  </si>
  <si>
    <t>1840027240</t>
  </si>
  <si>
    <t>08400L5190</t>
  </si>
  <si>
    <t>1120087040</t>
  </si>
  <si>
    <t>1120087050</t>
  </si>
  <si>
    <t>Обеспечение возврата средств из бюджета района в связи с недостижением показателей результативности использования средств субсидии на предоставления грантовой поддержки (на начало ведения предпринимательской деятельности),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</si>
  <si>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11200S6680</t>
  </si>
  <si>
    <t>02200S4700</t>
  </si>
  <si>
    <t>Финансовое обеспечение мероприятий на создание условий для предоставления горячего питания обучающимся общеобразовательных организаций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</si>
  <si>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мероприятий на создание условий для предоставления горячего питания обучающимся общеобразовательных организаций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</si>
  <si>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02200S5590</t>
  </si>
  <si>
    <t>Финансовое обеспечение мероприятий на проведение мероприятий по обеспечению антитеррористической защищенности объектов образованияза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</si>
  <si>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Иные межбюджетные трансферты  бюджетам муниципальных образований района   на благоустройство кладбищ в рамках подпрограммы «Развитие и модернизация объектов коммунальной инфраструктуры Большеулуйского района» муниципальной программы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</si>
  <si>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0410076660</t>
  </si>
  <si>
    <t>Иные межбюджетные трансферты бюджетам муниципальных образований района за содействие развитию налогового потенциала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</si>
  <si>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1810077450</t>
  </si>
  <si>
    <t xml:space="preserve">Отдельное мероприятие «Поддержка местных инициатив» </t>
  </si>
  <si>
    <t>1890000000</t>
  </si>
  <si>
    <t>Иные межбюджетные трансферты  бюджетам муниципальных образований района на осуществление расходов, направленных на реализацию мероприятий по поддержке местных инициатив, в рамках отдельного мероприятия «Поддержка местных инициатив» муниципальной программы Большеулуйского района «Управление муниципальными финансами»</t>
  </si>
  <si>
    <t>1890076410</t>
  </si>
  <si>
    <t>Прочие межбюджетные трансферты общего характера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</si>
  <si>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</si>
  <si>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</si>
  <si>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</si>
  <si>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</si>
  <si>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</si>
  <si>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</si>
  <si>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</si>
  <si>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</si>
  <si>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</si>
  <si>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</si>
  <si>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</si>
  <si>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</si>
  <si>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</si>
  <si>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</si>
  <si>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</si>
  <si>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</si>
  <si>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</si>
  <si>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</si>
  <si>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</si>
  <si>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</si>
  <si>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</si>
  <si>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</si>
  <si>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</si>
  <si>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</si>
  <si>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</si>
  <si>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</si>
  <si>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</si>
  <si>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</si>
  <si>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</si>
  <si>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</si>
  <si>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</si>
  <si>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</si>
  <si>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</si>
  <si>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</si>
  <si>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</si>
  <si>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</si>
  <si>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</si>
  <si>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</si>
  <si>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</si>
  <si>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</si>
  <si>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</si>
  <si>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</si>
  <si>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</si>
  <si>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</si>
  <si>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</si>
  <si>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</si>
  <si>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</si>
  <si>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</si>
  <si>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</si>
  <si>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</si>
  <si>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</si>
  <si>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</si>
  <si>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0810077450</t>
  </si>
  <si>
    <t xml:space="preserve">Финансовое обеспечение  на частичную компенсацию расходов на повышение оплаты труда отдельным категориям работников бюджетной сферы в рамках непрограммных расходов  контрольно-счётного органа </t>
  </si>
  <si>
    <t>9710027240</t>
  </si>
  <si>
    <t>Финансовое обеспечение  на частичную компенсацию расходов на повышение оплаты труда отдельным категориям работников бюджетной сферы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</si>
  <si>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0830027240</t>
  </si>
  <si>
    <t>Финансовое обеспечение  на частичную компенсацию расходов на повышение оплаты труда отдельным категориям работников бюджетной сферы 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</t>
  </si>
  <si>
    <t>1830027240</t>
  </si>
  <si>
    <t>Финансовое обеспечение  на частичную компенсацию расходов на повышение оплаты труда отдельным категориям работников бюджетной сферы 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</si>
  <si>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Финансовое обеспечение  на частичную компенсацию расходов на повышение оплаты труда отдельным категориям работников бюджетной сферы 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</si>
  <si>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0910027240</t>
  </si>
  <si>
    <t>Предоставление субсидии  на обеспечение функционирования системы персонифицированного финансирования дополнительного образования детей,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</si>
  <si>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Финансовое обеспечение  на частичную компенсацию расходов на повышение оплаты труда отдельным категориям работников бюджетной сферы в рамках непрограммных расходов отдельных органов исполнительной власти</t>
  </si>
  <si>
    <t>9610027240</t>
  </si>
  <si>
    <t>Финансовое обеспечение  на частичную компенсацию расходов на повышение оплаты труда отдельным категориям работников бюджетной сферы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</si>
  <si>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0220027240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</si>
  <si>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</si>
  <si>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</si>
  <si>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</si>
  <si>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</si>
  <si>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</si>
  <si>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</si>
  <si>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</si>
  <si>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</si>
  <si>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</si>
  <si>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</si>
  <si>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</si>
  <si>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</si>
  <si>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</si>
  <si>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</si>
  <si>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</si>
  <si>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</si>
  <si>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</si>
  <si>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</si>
  <si>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</si>
  <si>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</si>
  <si>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</si>
  <si>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</si>
  <si>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</si>
  <si>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</si>
  <si>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</si>
  <si>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</si>
  <si>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</si>
  <si>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</si>
  <si>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0820027240</t>
  </si>
  <si>
    <t>Субсидии  субъектам малого и среднего предпринимательства и физическим лицамна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деятельности, за счет средств краевого бюджета в рамках подпрограммы «Поддержка субъектов малого и среднего предпринимательства» муниципальной программы  «Развитие субъектов малого и среднего предпринимательства в Большеулуйском районе»</t>
  </si>
  <si>
    <t>Субсидии  субъектам малого и среднего предпринимательства и физическим лицамна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деятельности, за счет средств районного бюджета в рамках подпрограммы «Поддержка субъектов малого и среднего предпринимательства» муниципальной программы  «Развитие субъектов малого и среднего предпринимательства в Большеулуйском районе»</t>
  </si>
  <si>
    <t>Субсидии субъектам малого и среднего предпринимательства на реализацию инвестиционных проектов в приоритетных отраслях в Большеулуйском районе, в рамках подпрограммы «Поддержка субъектов малого и среднего предпринимательства» муниципальной программы  «Развитие субъектов малого и среднего предпринимательства в Большеулуйском районе»</t>
  </si>
  <si>
    <t>Субсидии субъектам малого и среднего предпринимательства и физическим лицам, применяющим специальный налоговый режим «Налог на профессиональный доход» на возмещение затрат при осуществлении предпринимательской деятельности в Большеулуйском районе, за счет средств краевого бюджета, в рамках подпрограммы «Поддержка субъектов малого и среднего предпринимательства» муниципальной программы  «Развитие субъектов малого и среднего предпринимательства в Большеулуйском районе»</t>
  </si>
  <si>
    <t>Обеспечение возврата средств из бюджета района в связи с недостижением показателей результативности использования средств субсидии на развитие субъектов малого и среднего предпринимательства, в рамках подпрограммы «Поддержка субъектов малого и среднего предпринимательства» муниципальной программы «Развитие субъектов малого и среднего предпринимательства в Большеулуйском районе»</t>
  </si>
  <si>
    <t>Проведение работ по формированию земельных участков, занимаемых объектами недвижимости, находящимися в муниципальной собственности, в рамках подпрограммы «Формирование и постановка на государственный кадастровый учёт земельных участков» муниципальной программы  «Эффективное управление муниципальным имуществом и земельными отношениями»</t>
  </si>
  <si>
    <t>Финансовое обеспечение мероприятий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бюджета, в рамках отдельного мероприятия "На подготовку документов территориального планирования и градостроительного зонирования(внесений в них изменений),на разработку документации по планировке территории" муниципальной программы "Эфективное управление муниципальным имуществом и земельными отношениями"</t>
  </si>
  <si>
    <t>Финансовое обеспечение  на частичную компенсацию расходов на повышение оплаты труда отдельным категориям работников бюджетной сферы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</si>
  <si>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0410027240</t>
  </si>
  <si>
    <t>Субсидия бюджетным учреждениям за счет средств налогового потенциала в рамках подпрограммы "Искусство и народное творчество Большеулуйского района" муниципальной программы  "Развитие культуры Большеулуйского района"</t>
  </si>
  <si>
    <t>Финансовое обеспечение мероприятий на проведение мероприятий по обеспечению антитеррористической защищенности объектов образования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</si>
  <si>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край</t>
  </si>
  <si>
    <t>Финансовое обеспечение мероприятий  на обустройство мест (площадок) накопления отходов потребления и (или) приобретение контейнерного оборудования за счет средств краевого бюджета  в рамках отдельных мероприятий муниципальной программы Большеулуйского района "Реформирование и модернизация жилищно-коммунального хозяйства"</t>
  </si>
  <si>
    <t>0250027240</t>
  </si>
  <si>
    <t>Финансовое обеспечение  на частичную компенсацию расходов на повышение оплаты труда отдельным категориям работников бюджетной сферы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</si>
  <si>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 xml:space="preserve">Приложение № 3                                                                                                к  Решению Большеулуйского районного Совета   депутатов от               № </t>
  </si>
  <si>
    <t xml:space="preserve">Исполнение расходов районного бюджета за 2023 год по ведомственной структуре  расходов </t>
  </si>
  <si>
    <t>Утверждено решением о бюджете</t>
  </si>
  <si>
    <t>Бюджетная роспись с учетом измененний</t>
  </si>
  <si>
    <t>Исполнено</t>
  </si>
  <si>
    <t xml:space="preserve">Процент исполнения бюджета  </t>
  </si>
  <si>
    <t>0810010330</t>
  </si>
  <si>
    <t>Субсидия на финансовое обеспечение расходов на увелечение размеров оплаты труда работников муниципальных учреждений культуры в рамках подпрограммы "Искусство и народное творчество Большеулуйского района" муниципальной программы Большеулуйского района "Развитие культуры Большеулуйского района "</t>
  </si>
  <si>
    <t>0820010330</t>
  </si>
  <si>
    <t>75</t>
  </si>
  <si>
    <t>76</t>
  </si>
  <si>
    <t>77</t>
  </si>
  <si>
    <t>78</t>
  </si>
  <si>
    <t>79</t>
  </si>
  <si>
    <t>80</t>
  </si>
  <si>
    <t>81</t>
  </si>
  <si>
    <t>276</t>
  </si>
  <si>
    <t>277</t>
  </si>
  <si>
    <t>278</t>
  </si>
  <si>
    <t>279</t>
  </si>
  <si>
    <t>280</t>
  </si>
  <si>
    <t>281</t>
  </si>
  <si>
    <t>531</t>
  </si>
  <si>
    <t>821</t>
  </si>
  <si>
    <t>822</t>
  </si>
  <si>
    <t>823</t>
  </si>
  <si>
    <t>827</t>
  </si>
  <si>
    <t>828</t>
  </si>
  <si>
    <t>1290088020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</si>
</sst>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#,##0.00&quot;р.&quot;"/>
    <numFmt numFmtId="181" formatCode="#,##0.00_р_.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000000"/>
      <name val="Times New Roman"/>
      <family val="1"/>
    </font>
    <font>
      <b/>
      <sz val="10"/>
      <color theme="1"/>
      <name val="Arial Cyr"/>
      <family val="0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>
      <alignment/>
      <protection/>
    </xf>
    <xf numFmtId="0" fontId="35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179" fontId="0" fillId="0" borderId="11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173" fontId="2" fillId="34" borderId="10" xfId="0" applyNumberFormat="1" applyFont="1" applyFill="1" applyBorder="1" applyAlignment="1" applyProtection="1">
      <alignment horizontal="left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 applyProtection="1">
      <alignment horizontal="left" vertical="center" wrapText="1"/>
      <protection/>
    </xf>
    <xf numFmtId="2" fontId="2" fillId="34" borderId="10" xfId="0" applyNumberFormat="1" applyFont="1" applyFill="1" applyBorder="1" applyAlignment="1">
      <alignment vertical="center" wrapText="1"/>
    </xf>
    <xf numFmtId="172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NumberFormat="1" applyFont="1" applyFill="1" applyBorder="1" applyAlignment="1">
      <alignment wrapText="1"/>
    </xf>
    <xf numFmtId="0" fontId="2" fillId="34" borderId="10" xfId="0" applyNumberFormat="1" applyFont="1" applyFill="1" applyBorder="1" applyAlignment="1">
      <alignment horizontal="left" wrapText="1"/>
    </xf>
    <xf numFmtId="173" fontId="2" fillId="34" borderId="10" xfId="0" applyNumberFormat="1" applyFont="1" applyFill="1" applyBorder="1" applyAlignment="1">
      <alignment horizontal="left" wrapText="1"/>
    </xf>
    <xf numFmtId="173" fontId="7" fillId="34" borderId="10" xfId="0" applyNumberFormat="1" applyFont="1" applyFill="1" applyBorder="1" applyAlignment="1" applyProtection="1">
      <alignment horizontal="left" vertical="center" wrapText="1"/>
      <protection/>
    </xf>
    <xf numFmtId="49" fontId="7" fillId="34" borderId="10" xfId="0" applyNumberFormat="1" applyFont="1" applyFill="1" applyBorder="1" applyAlignment="1">
      <alignment horizontal="center" vertical="center" wrapText="1"/>
    </xf>
    <xf numFmtId="179" fontId="0" fillId="34" borderId="10" xfId="0" applyNumberFormat="1" applyFill="1" applyBorder="1" applyAlignment="1">
      <alignment/>
    </xf>
    <xf numFmtId="4" fontId="2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vertical="center" wrapText="1"/>
    </xf>
    <xf numFmtId="2" fontId="8" fillId="34" borderId="10" xfId="0" applyNumberFormat="1" applyFont="1" applyFill="1" applyBorder="1" applyAlignment="1">
      <alignment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 applyProtection="1">
      <alignment horizontal="left" vertical="center" wrapText="1"/>
      <protection/>
    </xf>
    <xf numFmtId="173" fontId="8" fillId="34" borderId="10" xfId="0" applyNumberFormat="1" applyFont="1" applyFill="1" applyBorder="1" applyAlignment="1" applyProtection="1">
      <alignment horizontal="left" vertical="center" wrapText="1"/>
      <protection/>
    </xf>
    <xf numFmtId="0" fontId="2" fillId="34" borderId="10" xfId="55" applyNumberFormat="1" applyFont="1" applyFill="1" applyBorder="1" applyAlignment="1">
      <alignment horizontal="left" vertical="top" wrapText="1"/>
      <protection/>
    </xf>
    <xf numFmtId="173" fontId="2" fillId="34" borderId="12" xfId="0" applyNumberFormat="1" applyFont="1" applyFill="1" applyBorder="1" applyAlignment="1" applyProtection="1">
      <alignment horizontal="left" vertical="center" wrapText="1"/>
      <protection/>
    </xf>
    <xf numFmtId="11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7" fillId="34" borderId="10" xfId="0" applyNumberFormat="1" applyFont="1" applyFill="1" applyBorder="1" applyAlignment="1">
      <alignment horizontal="left" vertical="center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79" fontId="9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179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179" fontId="6" fillId="34" borderId="10" xfId="0" applyNumberFormat="1" applyFont="1" applyFill="1" applyBorder="1" applyAlignment="1">
      <alignment/>
    </xf>
    <xf numFmtId="179" fontId="10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179" fontId="2" fillId="34" borderId="10" xfId="0" applyNumberFormat="1" applyFont="1" applyFill="1" applyBorder="1" applyAlignment="1">
      <alignment vertical="center" wrapText="1"/>
    </xf>
    <xf numFmtId="179" fontId="0" fillId="34" borderId="10" xfId="0" applyNumberFormat="1" applyFont="1" applyFill="1" applyBorder="1" applyAlignment="1">
      <alignment/>
    </xf>
    <xf numFmtId="179" fontId="0" fillId="34" borderId="10" xfId="0" applyNumberFormat="1" applyFont="1" applyFill="1" applyBorder="1" applyAlignment="1">
      <alignment wrapText="1"/>
    </xf>
    <xf numFmtId="179" fontId="2" fillId="34" borderId="10" xfId="0" applyNumberFormat="1" applyFont="1" applyFill="1" applyBorder="1" applyAlignment="1" applyProtection="1">
      <alignment horizontal="center" vertical="center"/>
      <protection/>
    </xf>
    <xf numFmtId="179" fontId="2" fillId="34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/>
    </xf>
    <xf numFmtId="179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80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/>
    </xf>
    <xf numFmtId="179" fontId="0" fillId="34" borderId="0" xfId="0" applyNumberFormat="1" applyFont="1" applyFill="1" applyBorder="1" applyAlignment="1">
      <alignment/>
    </xf>
    <xf numFmtId="179" fontId="10" fillId="34" borderId="0" xfId="0" applyNumberFormat="1" applyFont="1" applyFill="1" applyBorder="1" applyAlignment="1">
      <alignment/>
    </xf>
    <xf numFmtId="179" fontId="6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/>
    </xf>
    <xf numFmtId="179" fontId="7" fillId="34" borderId="10" xfId="0" applyNumberFormat="1" applyFont="1" applyFill="1" applyBorder="1" applyAlignment="1">
      <alignment vertical="center" wrapText="1"/>
    </xf>
    <xf numFmtId="179" fontId="8" fillId="34" borderId="10" xfId="0" applyNumberFormat="1" applyFont="1" applyFill="1" applyBorder="1" applyAlignment="1">
      <alignment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179" fontId="8" fillId="34" borderId="10" xfId="0" applyNumberFormat="1" applyFont="1" applyFill="1" applyBorder="1" applyAlignment="1">
      <alignment horizontal="right" vertical="center" wrapText="1"/>
    </xf>
    <xf numFmtId="0" fontId="54" fillId="34" borderId="14" xfId="0" applyNumberFormat="1" applyFont="1" applyFill="1" applyBorder="1" applyAlignment="1" quotePrefix="1">
      <alignment horizontal="left" vertical="top" wrapText="1"/>
    </xf>
    <xf numFmtId="0" fontId="0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179" fontId="0" fillId="34" borderId="0" xfId="0" applyNumberFormat="1" applyFont="1" applyFill="1" applyAlignment="1">
      <alignment/>
    </xf>
    <xf numFmtId="179" fontId="9" fillId="34" borderId="0" xfId="0" applyNumberFormat="1" applyFont="1" applyFill="1" applyBorder="1" applyAlignment="1">
      <alignment/>
    </xf>
    <xf numFmtId="179" fontId="9" fillId="34" borderId="0" xfId="0" applyNumberFormat="1" applyFont="1" applyFill="1" applyAlignment="1">
      <alignment/>
    </xf>
    <xf numFmtId="179" fontId="55" fillId="34" borderId="10" xfId="0" applyNumberFormat="1" applyFont="1" applyFill="1" applyBorder="1" applyAlignment="1">
      <alignment/>
    </xf>
    <xf numFmtId="179" fontId="0" fillId="34" borderId="0" xfId="0" applyNumberFormat="1" applyFont="1" applyFill="1" applyBorder="1" applyAlignment="1">
      <alignment/>
    </xf>
    <xf numFmtId="2" fontId="0" fillId="34" borderId="0" xfId="0" applyNumberFormat="1" applyFont="1" applyFill="1" applyAlignment="1">
      <alignment/>
    </xf>
    <xf numFmtId="179" fontId="0" fillId="34" borderId="0" xfId="0" applyNumberFormat="1" applyFont="1" applyFill="1" applyBorder="1" applyAlignment="1">
      <alignment/>
    </xf>
    <xf numFmtId="179" fontId="2" fillId="34" borderId="0" xfId="0" applyNumberFormat="1" applyFont="1" applyFill="1" applyBorder="1" applyAlignment="1">
      <alignment horizontal="right" vertical="center" wrapText="1"/>
    </xf>
    <xf numFmtId="2" fontId="0" fillId="34" borderId="0" xfId="0" applyNumberFormat="1" applyFont="1" applyFill="1" applyAlignment="1">
      <alignment/>
    </xf>
    <xf numFmtId="179" fontId="0" fillId="34" borderId="0" xfId="0" applyNumberFormat="1" applyFont="1" applyFill="1" applyAlignment="1">
      <alignment/>
    </xf>
    <xf numFmtId="0" fontId="0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>
      <alignment wrapText="1"/>
    </xf>
    <xf numFmtId="0" fontId="2" fillId="34" borderId="10" xfId="0" applyFont="1" applyFill="1" applyBorder="1" applyAlignment="1">
      <alignment/>
    </xf>
    <xf numFmtId="0" fontId="56" fillId="34" borderId="10" xfId="0" applyNumberFormat="1" applyFont="1" applyFill="1" applyBorder="1" applyAlignment="1" quotePrefix="1">
      <alignment horizontal="left" vertical="top" wrapText="1"/>
    </xf>
    <xf numFmtId="172" fontId="7" fillId="34" borderId="10" xfId="0" applyNumberFormat="1" applyFont="1" applyFill="1" applyBorder="1" applyAlignment="1">
      <alignment vertical="center" wrapText="1"/>
    </xf>
    <xf numFmtId="172" fontId="2" fillId="34" borderId="10" xfId="0" applyNumberFormat="1" applyFont="1" applyFill="1" applyBorder="1" applyAlignment="1">
      <alignment horizontal="right" vertical="center"/>
    </xf>
    <xf numFmtId="179" fontId="6" fillId="34" borderId="0" xfId="0" applyNumberFormat="1" applyFont="1" applyFill="1" applyAlignment="1">
      <alignment/>
    </xf>
    <xf numFmtId="172" fontId="8" fillId="34" borderId="10" xfId="0" applyNumberFormat="1" applyFont="1" applyFill="1" applyBorder="1" applyAlignment="1">
      <alignment horizontal="right" vertical="center" wrapText="1"/>
    </xf>
    <xf numFmtId="0" fontId="8" fillId="34" borderId="10" xfId="0" applyNumberFormat="1" applyFont="1" applyFill="1" applyBorder="1" applyAlignment="1">
      <alignment horizontal="center" vertical="top" wrapText="1"/>
    </xf>
    <xf numFmtId="2" fontId="9" fillId="34" borderId="0" xfId="0" applyNumberFormat="1" applyFont="1" applyFill="1" applyAlignment="1">
      <alignment/>
    </xf>
    <xf numFmtId="179" fontId="2" fillId="34" borderId="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top" wrapText="1"/>
    </xf>
    <xf numFmtId="49" fontId="2" fillId="34" borderId="15" xfId="0" applyNumberFormat="1" applyFont="1" applyFill="1" applyBorder="1" applyAlignment="1">
      <alignment horizontal="center" vertical="center" wrapText="1"/>
    </xf>
    <xf numFmtId="173" fontId="2" fillId="34" borderId="10" xfId="54" applyNumberFormat="1" applyFont="1" applyFill="1" applyBorder="1" applyAlignment="1" applyProtection="1">
      <alignment horizontal="left" vertical="center" wrapText="1"/>
      <protection/>
    </xf>
    <xf numFmtId="49" fontId="2" fillId="34" borderId="10" xfId="0" applyNumberFormat="1" applyFont="1" applyFill="1" applyBorder="1" applyAlignment="1">
      <alignment wrapText="1"/>
    </xf>
    <xf numFmtId="179" fontId="2" fillId="34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 vertical="center" wrapText="1"/>
    </xf>
    <xf numFmtId="0" fontId="0" fillId="35" borderId="0" xfId="0" applyFont="1" applyFill="1" applyAlignment="1">
      <alignment/>
    </xf>
    <xf numFmtId="4" fontId="2" fillId="0" borderId="0" xfId="0" applyNumberFormat="1" applyFont="1" applyAlignment="1">
      <alignment vertical="center" wrapText="1" shrinkToFit="1"/>
    </xf>
    <xf numFmtId="173" fontId="2" fillId="0" borderId="16" xfId="56" applyNumberFormat="1" applyFont="1" applyBorder="1" applyAlignment="1" applyProtection="1">
      <alignment horizontal="left" vertical="center" wrapText="1"/>
      <protection/>
    </xf>
    <xf numFmtId="4" fontId="2" fillId="34" borderId="0" xfId="0" applyNumberFormat="1" applyFont="1" applyFill="1" applyAlignment="1">
      <alignment vertical="center"/>
    </xf>
    <xf numFmtId="4" fontId="2" fillId="34" borderId="0" xfId="0" applyNumberFormat="1" applyFont="1" applyFill="1" applyAlignment="1">
      <alignment vertical="center" wrapText="1" shrinkToFit="1"/>
    </xf>
    <xf numFmtId="0" fontId="11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 wrapText="1" shrinkToFi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Лист1_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923"/>
  <sheetViews>
    <sheetView tabSelected="1" view="pageBreakPreview" zoomScaleSheetLayoutView="100" zoomScalePageLayoutView="0" workbookViewId="0" topLeftCell="B2">
      <selection activeCell="J362" sqref="J362"/>
    </sheetView>
  </sheetViews>
  <sheetFormatPr defaultColWidth="9.00390625" defaultRowHeight="12.75"/>
  <cols>
    <col min="1" max="1" width="7.375" style="11" customWidth="1"/>
    <col min="2" max="2" width="56.75390625" style="10" customWidth="1"/>
    <col min="3" max="3" width="11.125" style="11" customWidth="1"/>
    <col min="4" max="4" width="11.875" style="11" customWidth="1"/>
    <col min="5" max="5" width="11.00390625" style="11" customWidth="1"/>
    <col min="6" max="6" width="10.625" style="11" customWidth="1"/>
    <col min="7" max="7" width="13.125" style="11" customWidth="1"/>
    <col min="8" max="8" width="14.125" style="125" customWidth="1"/>
    <col min="9" max="9" width="13.25390625" style="125" customWidth="1"/>
    <col min="10" max="10" width="14.375" style="12" customWidth="1"/>
    <col min="11" max="11" width="10.375" style="2" hidden="1" customWidth="1"/>
    <col min="12" max="12" width="11.75390625" style="2" hidden="1" customWidth="1"/>
    <col min="13" max="13" width="8.25390625" style="2" hidden="1" customWidth="1"/>
    <col min="14" max="14" width="9.125" style="2" hidden="1" customWidth="1"/>
    <col min="15" max="15" width="0.12890625" style="2" hidden="1" customWidth="1"/>
    <col min="16" max="16" width="9.125" style="2" hidden="1" customWidth="1"/>
    <col min="17" max="17" width="14.25390625" style="2" hidden="1" customWidth="1"/>
    <col min="18" max="18" width="10.00390625" style="2" hidden="1" customWidth="1"/>
    <col min="19" max="23" width="9.125" style="2" hidden="1" customWidth="1"/>
    <col min="24" max="24" width="0.12890625" style="2" hidden="1" customWidth="1"/>
    <col min="25" max="25" width="9.125" style="2" hidden="1" customWidth="1"/>
    <col min="26" max="26" width="10.00390625" style="2" hidden="1" customWidth="1"/>
    <col min="27" max="27" width="9.125" style="2" hidden="1" customWidth="1"/>
    <col min="28" max="28" width="14.25390625" style="2" hidden="1" customWidth="1"/>
    <col min="29" max="29" width="15.125" style="2" hidden="1" customWidth="1"/>
    <col min="30" max="33" width="9.125" style="2" hidden="1" customWidth="1"/>
    <col min="34" max="16384" width="9.125" style="2" customWidth="1"/>
  </cols>
  <sheetData>
    <row r="1" ht="12.75" hidden="1"/>
    <row r="2" spans="8:12" ht="49.5" customHeight="1">
      <c r="H2" s="128" t="s">
        <v>1479</v>
      </c>
      <c r="I2" s="128"/>
      <c r="J2" s="128"/>
      <c r="K2" s="128"/>
      <c r="L2" s="128"/>
    </row>
    <row r="3" spans="8:10" ht="48.75" customHeight="1">
      <c r="H3" s="126"/>
      <c r="I3" s="126"/>
      <c r="J3" s="123"/>
    </row>
    <row r="4" spans="1:12" s="1" customFormat="1" ht="15.75">
      <c r="A4" s="127" t="s">
        <v>1480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0" s="1" customFormat="1" ht="15.75">
      <c r="A5" s="127"/>
      <c r="B5" s="127"/>
      <c r="C5" s="127"/>
      <c r="D5" s="127"/>
      <c r="E5" s="127"/>
      <c r="F5" s="127"/>
      <c r="G5" s="127"/>
      <c r="H5" s="127"/>
      <c r="I5" s="127"/>
      <c r="J5" s="127"/>
    </row>
    <row r="6" ht="12.75">
      <c r="J6" s="12" t="s">
        <v>148</v>
      </c>
    </row>
    <row r="7" spans="1:33" s="9" customFormat="1" ht="51">
      <c r="A7" s="13" t="s">
        <v>149</v>
      </c>
      <c r="B7" s="13" t="s">
        <v>150</v>
      </c>
      <c r="C7" s="6" t="s">
        <v>161</v>
      </c>
      <c r="D7" s="6" t="s">
        <v>110</v>
      </c>
      <c r="E7" s="6" t="s">
        <v>151</v>
      </c>
      <c r="F7" s="6" t="s">
        <v>103</v>
      </c>
      <c r="G7" s="33" t="s">
        <v>1481</v>
      </c>
      <c r="H7" s="33" t="s">
        <v>1482</v>
      </c>
      <c r="I7" s="33" t="s">
        <v>1483</v>
      </c>
      <c r="J7" s="14" t="s">
        <v>1484</v>
      </c>
      <c r="K7" s="45"/>
      <c r="L7" s="45"/>
      <c r="M7" s="64" t="s">
        <v>562</v>
      </c>
      <c r="N7" s="64" t="s">
        <v>561</v>
      </c>
      <c r="T7" s="82"/>
      <c r="U7" s="82"/>
      <c r="Z7" s="84" t="s">
        <v>861</v>
      </c>
      <c r="AA7" s="84" t="s">
        <v>862</v>
      </c>
      <c r="AB7" s="64" t="s">
        <v>561</v>
      </c>
      <c r="AC7" s="64" t="s">
        <v>498</v>
      </c>
      <c r="AF7" s="64" t="s">
        <v>561</v>
      </c>
      <c r="AG7" s="64" t="s">
        <v>1475</v>
      </c>
    </row>
    <row r="8" spans="1:29" s="9" customFormat="1" ht="12.75">
      <c r="A8" s="23" t="s">
        <v>152</v>
      </c>
      <c r="B8" s="23" t="s">
        <v>153</v>
      </c>
      <c r="C8" s="23" t="s">
        <v>154</v>
      </c>
      <c r="D8" s="23" t="s">
        <v>155</v>
      </c>
      <c r="E8" s="23" t="s">
        <v>156</v>
      </c>
      <c r="F8" s="23" t="s">
        <v>157</v>
      </c>
      <c r="G8" s="23" t="s">
        <v>158</v>
      </c>
      <c r="H8" s="33">
        <v>8</v>
      </c>
      <c r="I8" s="33">
        <v>9</v>
      </c>
      <c r="J8" s="33">
        <v>10</v>
      </c>
      <c r="K8" s="61" t="s">
        <v>498</v>
      </c>
      <c r="L8" s="61" t="s">
        <v>499</v>
      </c>
      <c r="T8" s="84" t="s">
        <v>498</v>
      </c>
      <c r="U8" s="84" t="s">
        <v>647</v>
      </c>
      <c r="Z8" s="82"/>
      <c r="AA8" s="82"/>
      <c r="AB8" s="82"/>
      <c r="AC8" s="82"/>
    </row>
    <row r="9" spans="1:33" s="7" customFormat="1" ht="19.5" customHeight="1">
      <c r="A9" s="23" t="s">
        <v>152</v>
      </c>
      <c r="B9" s="34" t="s">
        <v>98</v>
      </c>
      <c r="C9" s="31" t="s">
        <v>162</v>
      </c>
      <c r="D9" s="31" t="s">
        <v>160</v>
      </c>
      <c r="E9" s="31" t="s">
        <v>160</v>
      </c>
      <c r="F9" s="31" t="s">
        <v>160</v>
      </c>
      <c r="G9" s="77">
        <f>G10+G30+G83+G51+G44+G37+G76</f>
        <v>79483.6</v>
      </c>
      <c r="H9" s="77">
        <f>H10+H30+H83+H51+H44+H37+H76</f>
        <v>90645.8</v>
      </c>
      <c r="I9" s="77">
        <f>I10+I30+I83+I51+I44+I37+I76</f>
        <v>87703.70000000001</v>
      </c>
      <c r="J9" s="77">
        <f>I9/H9*100</f>
        <v>96.7542897740436</v>
      </c>
      <c r="K9" s="46">
        <f>SUM(K10:K98)</f>
        <v>15617.8</v>
      </c>
      <c r="L9" s="46">
        <f>SUM(L10:L98)</f>
        <v>31076.699999999997</v>
      </c>
      <c r="M9" s="74"/>
      <c r="N9" s="65"/>
      <c r="O9" s="65"/>
      <c r="P9" s="65"/>
      <c r="Q9" s="65"/>
      <c r="R9" s="65"/>
      <c r="S9" s="65"/>
      <c r="T9" s="65">
        <f>SUM(T10:T98)</f>
        <v>21545</v>
      </c>
      <c r="U9" s="65">
        <f>SUM(U10:U98)</f>
        <v>48361.9</v>
      </c>
      <c r="V9" s="65"/>
      <c r="W9" s="65"/>
      <c r="X9" s="65">
        <f aca="true" t="shared" si="0" ref="X9:AE9">SUM(X10:X98)</f>
        <v>60</v>
      </c>
      <c r="Y9" s="65">
        <f t="shared" si="0"/>
        <v>4</v>
      </c>
      <c r="Z9" s="65">
        <f t="shared" si="0"/>
        <v>49664.2</v>
      </c>
      <c r="AA9" s="65">
        <f t="shared" si="0"/>
        <v>19430.7</v>
      </c>
      <c r="AB9" s="65">
        <f t="shared" si="0"/>
        <v>59009.600000000006</v>
      </c>
      <c r="AC9" s="65">
        <f t="shared" si="0"/>
        <v>20474</v>
      </c>
      <c r="AD9" s="65">
        <f t="shared" si="0"/>
        <v>1664.6</v>
      </c>
      <c r="AE9" s="65">
        <f t="shared" si="0"/>
        <v>1232.0000000000002</v>
      </c>
      <c r="AF9" s="65"/>
      <c r="AG9" s="65"/>
    </row>
    <row r="10" spans="1:33" s="4" customFormat="1" ht="18.75" customHeight="1">
      <c r="A10" s="23" t="s">
        <v>153</v>
      </c>
      <c r="B10" s="34" t="s">
        <v>215</v>
      </c>
      <c r="C10" s="31" t="s">
        <v>162</v>
      </c>
      <c r="D10" s="31" t="s">
        <v>177</v>
      </c>
      <c r="E10" s="23"/>
      <c r="F10" s="23"/>
      <c r="G10" s="77">
        <f>G11+G24</f>
        <v>9970.7</v>
      </c>
      <c r="H10" s="77">
        <f>H11+H24</f>
        <v>10270.900000000001</v>
      </c>
      <c r="I10" s="77">
        <f>I11+I24</f>
        <v>10268.500000000002</v>
      </c>
      <c r="J10" s="77">
        <f aca="true" t="shared" si="1" ref="J10:J73">I10/H10*100</f>
        <v>99.9766330117127</v>
      </c>
      <c r="K10" s="46"/>
      <c r="L10" s="46"/>
      <c r="M10" s="74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</row>
    <row r="11" spans="1:33" s="15" customFormat="1" ht="38.25">
      <c r="A11" s="23" t="s">
        <v>154</v>
      </c>
      <c r="B11" s="35" t="s">
        <v>216</v>
      </c>
      <c r="C11" s="36" t="s">
        <v>162</v>
      </c>
      <c r="D11" s="36" t="s">
        <v>178</v>
      </c>
      <c r="E11" s="23"/>
      <c r="F11" s="23"/>
      <c r="G11" s="78">
        <f>G12</f>
        <v>9929.900000000001</v>
      </c>
      <c r="H11" s="78">
        <f>H12</f>
        <v>10229.100000000002</v>
      </c>
      <c r="I11" s="78">
        <f>I12</f>
        <v>10226.700000000003</v>
      </c>
      <c r="J11" s="77">
        <f t="shared" si="1"/>
        <v>99.97653752529548</v>
      </c>
      <c r="K11" s="47"/>
      <c r="L11" s="48">
        <v>5970.2</v>
      </c>
      <c r="M11" s="86"/>
      <c r="N11" s="83"/>
      <c r="O11" s="83"/>
      <c r="P11" s="83"/>
      <c r="Q11" s="110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</row>
    <row r="12" spans="1:33" s="15" customFormat="1" ht="25.5">
      <c r="A12" s="23" t="s">
        <v>155</v>
      </c>
      <c r="B12" s="22" t="s">
        <v>410</v>
      </c>
      <c r="C12" s="23" t="s">
        <v>162</v>
      </c>
      <c r="D12" s="23" t="s">
        <v>178</v>
      </c>
      <c r="E12" s="23" t="s">
        <v>309</v>
      </c>
      <c r="F12" s="23"/>
      <c r="G12" s="54">
        <f>SUM(G13)</f>
        <v>9929.900000000001</v>
      </c>
      <c r="H12" s="54">
        <f>SUM(H13)</f>
        <v>10229.100000000002</v>
      </c>
      <c r="I12" s="54">
        <f>SUM(I13)</f>
        <v>10226.700000000003</v>
      </c>
      <c r="J12" s="77">
        <f t="shared" si="1"/>
        <v>99.97653752529548</v>
      </c>
      <c r="K12" s="47"/>
      <c r="L12" s="48"/>
      <c r="M12" s="86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</row>
    <row r="13" spans="1:33" s="15" customFormat="1" ht="25.5">
      <c r="A13" s="23" t="s">
        <v>156</v>
      </c>
      <c r="B13" s="22" t="s">
        <v>411</v>
      </c>
      <c r="C13" s="23" t="s">
        <v>162</v>
      </c>
      <c r="D13" s="23" t="s">
        <v>178</v>
      </c>
      <c r="E13" s="23" t="s">
        <v>310</v>
      </c>
      <c r="F13" s="23"/>
      <c r="G13" s="54">
        <f>SUM(G14+G21)</f>
        <v>9929.900000000001</v>
      </c>
      <c r="H13" s="54">
        <f>SUM(H14+H21)</f>
        <v>10229.100000000002</v>
      </c>
      <c r="I13" s="54">
        <f>SUM(I14+I21)</f>
        <v>10226.700000000003</v>
      </c>
      <c r="J13" s="77">
        <f t="shared" si="1"/>
        <v>99.97653752529548</v>
      </c>
      <c r="K13" s="47"/>
      <c r="L13" s="48"/>
      <c r="M13" s="86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</row>
    <row r="14" spans="1:33" s="15" customFormat="1" ht="63.75">
      <c r="A14" s="23" t="s">
        <v>157</v>
      </c>
      <c r="B14" s="22" t="s">
        <v>217</v>
      </c>
      <c r="C14" s="23" t="s">
        <v>162</v>
      </c>
      <c r="D14" s="23" t="s">
        <v>178</v>
      </c>
      <c r="E14" s="23" t="s">
        <v>308</v>
      </c>
      <c r="F14" s="23"/>
      <c r="G14" s="54">
        <f>G15+G17+G19</f>
        <v>9929.900000000001</v>
      </c>
      <c r="H14" s="54">
        <f>H15+H17+H19</f>
        <v>9929.900000000001</v>
      </c>
      <c r="I14" s="54">
        <f>I15+I17+I19</f>
        <v>9927.500000000002</v>
      </c>
      <c r="J14" s="77">
        <f t="shared" si="1"/>
        <v>99.9758305723119</v>
      </c>
      <c r="K14" s="47"/>
      <c r="L14" s="48"/>
      <c r="M14" s="86"/>
      <c r="N14" s="83"/>
      <c r="O14" s="83"/>
      <c r="P14" s="83"/>
      <c r="Q14" s="83"/>
      <c r="R14" s="83"/>
      <c r="S14" s="83"/>
      <c r="T14" s="83"/>
      <c r="U14" s="83">
        <v>8378</v>
      </c>
      <c r="V14" s="83"/>
      <c r="W14" s="83"/>
      <c r="X14" s="83"/>
      <c r="Y14" s="83"/>
      <c r="Z14" s="83">
        <v>9333.8</v>
      </c>
      <c r="AA14" s="83"/>
      <c r="AB14" s="83">
        <v>9929.9</v>
      </c>
      <c r="AC14" s="83"/>
      <c r="AD14" s="83"/>
      <c r="AE14" s="83"/>
      <c r="AF14" s="83"/>
      <c r="AG14" s="83"/>
    </row>
    <row r="15" spans="1:33" s="15" customFormat="1" ht="51">
      <c r="A15" s="23" t="s">
        <v>158</v>
      </c>
      <c r="B15" s="25" t="s">
        <v>181</v>
      </c>
      <c r="C15" s="23" t="s">
        <v>162</v>
      </c>
      <c r="D15" s="23" t="s">
        <v>178</v>
      </c>
      <c r="E15" s="23" t="s">
        <v>308</v>
      </c>
      <c r="F15" s="23" t="s">
        <v>179</v>
      </c>
      <c r="G15" s="54">
        <f>SUM(G16)</f>
        <v>9503.2</v>
      </c>
      <c r="H15" s="54">
        <f>SUM(H16)</f>
        <v>9505.7</v>
      </c>
      <c r="I15" s="54">
        <f>SUM(I16)</f>
        <v>9505.7</v>
      </c>
      <c r="J15" s="77">
        <f t="shared" si="1"/>
        <v>100</v>
      </c>
      <c r="K15" s="47"/>
      <c r="L15" s="48"/>
      <c r="M15" s="86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97"/>
      <c r="AA15" s="83"/>
      <c r="AB15" s="83"/>
      <c r="AC15" s="83"/>
      <c r="AD15" s="83"/>
      <c r="AE15" s="83"/>
      <c r="AF15" s="83"/>
      <c r="AG15" s="83"/>
    </row>
    <row r="16" spans="1:33" s="15" customFormat="1" ht="25.5">
      <c r="A16" s="23" t="s">
        <v>159</v>
      </c>
      <c r="B16" s="25" t="s">
        <v>300</v>
      </c>
      <c r="C16" s="23" t="s">
        <v>162</v>
      </c>
      <c r="D16" s="23" t="s">
        <v>178</v>
      </c>
      <c r="E16" s="23" t="s">
        <v>308</v>
      </c>
      <c r="F16" s="23" t="s">
        <v>180</v>
      </c>
      <c r="G16" s="54">
        <v>9503.2</v>
      </c>
      <c r="H16" s="54">
        <v>9505.7</v>
      </c>
      <c r="I16" s="54">
        <v>9505.7</v>
      </c>
      <c r="J16" s="77">
        <f t="shared" si="1"/>
        <v>100</v>
      </c>
      <c r="K16" s="47"/>
      <c r="L16" s="48"/>
      <c r="M16" s="86"/>
      <c r="N16" s="43">
        <v>217.1</v>
      </c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111"/>
      <c r="AA16" s="83"/>
      <c r="AB16" s="83"/>
      <c r="AC16" s="83"/>
      <c r="AD16" s="83"/>
      <c r="AE16" s="83"/>
      <c r="AF16" s="83">
        <v>2.8</v>
      </c>
      <c r="AG16" s="83"/>
    </row>
    <row r="17" spans="1:33" s="15" customFormat="1" ht="25.5">
      <c r="A17" s="23" t="s">
        <v>111</v>
      </c>
      <c r="B17" s="22" t="s">
        <v>144</v>
      </c>
      <c r="C17" s="23" t="s">
        <v>162</v>
      </c>
      <c r="D17" s="23" t="s">
        <v>178</v>
      </c>
      <c r="E17" s="23" t="s">
        <v>308</v>
      </c>
      <c r="F17" s="23" t="s">
        <v>109</v>
      </c>
      <c r="G17" s="54">
        <f>SUM(G18)</f>
        <v>424.7</v>
      </c>
      <c r="H17" s="54">
        <f>SUM(H18)</f>
        <v>422.2</v>
      </c>
      <c r="I17" s="54">
        <f>SUM(I18)</f>
        <v>421.7</v>
      </c>
      <c r="J17" s="77">
        <f t="shared" si="1"/>
        <v>99.88157271435338</v>
      </c>
      <c r="K17" s="47"/>
      <c r="L17" s="48"/>
      <c r="M17" s="86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97"/>
      <c r="AA17" s="83"/>
      <c r="AB17" s="83"/>
      <c r="AC17" s="83"/>
      <c r="AD17" s="83"/>
      <c r="AE17" s="83"/>
      <c r="AF17" s="83"/>
      <c r="AG17" s="83"/>
    </row>
    <row r="18" spans="1:33" s="15" customFormat="1" ht="25.5">
      <c r="A18" s="23" t="s">
        <v>4</v>
      </c>
      <c r="B18" s="22" t="s">
        <v>145</v>
      </c>
      <c r="C18" s="23" t="s">
        <v>162</v>
      </c>
      <c r="D18" s="23" t="s">
        <v>178</v>
      </c>
      <c r="E18" s="23" t="s">
        <v>308</v>
      </c>
      <c r="F18" s="23" t="s">
        <v>102</v>
      </c>
      <c r="G18" s="54">
        <v>424.7</v>
      </c>
      <c r="H18" s="54">
        <v>422.2</v>
      </c>
      <c r="I18" s="54">
        <v>421.7</v>
      </c>
      <c r="J18" s="77">
        <f t="shared" si="1"/>
        <v>99.88157271435338</v>
      </c>
      <c r="K18" s="47"/>
      <c r="L18" s="48"/>
      <c r="M18" s="86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>
        <v>60</v>
      </c>
      <c r="Y18" s="83"/>
      <c r="Z18" s="97"/>
      <c r="AA18" s="83"/>
      <c r="AB18" s="83"/>
      <c r="AC18" s="83"/>
      <c r="AD18" s="83"/>
      <c r="AE18" s="83"/>
      <c r="AF18" s="83">
        <v>-2.8</v>
      </c>
      <c r="AG18" s="83"/>
    </row>
    <row r="19" spans="1:33" s="16" customFormat="1" ht="12.75">
      <c r="A19" s="23" t="s">
        <v>5</v>
      </c>
      <c r="B19" s="25" t="s">
        <v>198</v>
      </c>
      <c r="C19" s="23" t="s">
        <v>162</v>
      </c>
      <c r="D19" s="23" t="s">
        <v>178</v>
      </c>
      <c r="E19" s="23" t="s">
        <v>308</v>
      </c>
      <c r="F19" s="23" t="s">
        <v>201</v>
      </c>
      <c r="G19" s="54">
        <f>G20</f>
        <v>2</v>
      </c>
      <c r="H19" s="54">
        <f>H20</f>
        <v>2</v>
      </c>
      <c r="I19" s="54">
        <f>I20</f>
        <v>0.1</v>
      </c>
      <c r="J19" s="77">
        <f t="shared" si="1"/>
        <v>5</v>
      </c>
      <c r="K19" s="49"/>
      <c r="L19" s="50"/>
      <c r="M19" s="72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</row>
    <row r="20" spans="1:33" s="16" customFormat="1" ht="12.75">
      <c r="A20" s="23" t="s">
        <v>6</v>
      </c>
      <c r="B20" s="25" t="s">
        <v>199</v>
      </c>
      <c r="C20" s="23" t="s">
        <v>162</v>
      </c>
      <c r="D20" s="23" t="s">
        <v>178</v>
      </c>
      <c r="E20" s="23" t="s">
        <v>308</v>
      </c>
      <c r="F20" s="23" t="s">
        <v>202</v>
      </c>
      <c r="G20" s="54">
        <v>2</v>
      </c>
      <c r="H20" s="54">
        <v>2</v>
      </c>
      <c r="I20" s="54">
        <v>0.1</v>
      </c>
      <c r="J20" s="77">
        <f t="shared" si="1"/>
        <v>5</v>
      </c>
      <c r="K20" s="49"/>
      <c r="L20" s="50"/>
      <c r="M20" s="72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</row>
    <row r="21" spans="1:33" s="16" customFormat="1" ht="76.5">
      <c r="A21" s="23" t="s">
        <v>964</v>
      </c>
      <c r="B21" s="22" t="s">
        <v>1347</v>
      </c>
      <c r="C21" s="23" t="s">
        <v>162</v>
      </c>
      <c r="D21" s="23" t="s">
        <v>178</v>
      </c>
      <c r="E21" s="23" t="s">
        <v>1348</v>
      </c>
      <c r="F21" s="23"/>
      <c r="G21" s="54">
        <f aca="true" t="shared" si="2" ref="G21:I22">G22</f>
        <v>0</v>
      </c>
      <c r="H21" s="54">
        <f t="shared" si="2"/>
        <v>299.2</v>
      </c>
      <c r="I21" s="54">
        <f t="shared" si="2"/>
        <v>299.2</v>
      </c>
      <c r="J21" s="77">
        <f t="shared" si="1"/>
        <v>100</v>
      </c>
      <c r="K21" s="49"/>
      <c r="L21" s="50"/>
      <c r="M21" s="72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</row>
    <row r="22" spans="1:33" s="16" customFormat="1" ht="51">
      <c r="A22" s="23" t="s">
        <v>965</v>
      </c>
      <c r="B22" s="25" t="s">
        <v>181</v>
      </c>
      <c r="C22" s="23" t="s">
        <v>162</v>
      </c>
      <c r="D22" s="23" t="s">
        <v>178</v>
      </c>
      <c r="E22" s="23" t="s">
        <v>1348</v>
      </c>
      <c r="F22" s="23" t="s">
        <v>179</v>
      </c>
      <c r="G22" s="54">
        <f t="shared" si="2"/>
        <v>0</v>
      </c>
      <c r="H22" s="54">
        <f t="shared" si="2"/>
        <v>299.2</v>
      </c>
      <c r="I22" s="54">
        <f t="shared" si="2"/>
        <v>299.2</v>
      </c>
      <c r="J22" s="77">
        <f t="shared" si="1"/>
        <v>100</v>
      </c>
      <c r="K22" s="49"/>
      <c r="L22" s="50"/>
      <c r="M22" s="72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</row>
    <row r="23" spans="1:33" s="16" customFormat="1" ht="25.5">
      <c r="A23" s="23" t="s">
        <v>966</v>
      </c>
      <c r="B23" s="25" t="s">
        <v>300</v>
      </c>
      <c r="C23" s="23" t="s">
        <v>162</v>
      </c>
      <c r="D23" s="23" t="s">
        <v>178</v>
      </c>
      <c r="E23" s="23" t="s">
        <v>1348</v>
      </c>
      <c r="F23" s="23" t="s">
        <v>180</v>
      </c>
      <c r="G23" s="58">
        <v>0</v>
      </c>
      <c r="H23" s="58">
        <v>299.2</v>
      </c>
      <c r="I23" s="58">
        <v>299.2</v>
      </c>
      <c r="J23" s="77">
        <f t="shared" si="1"/>
        <v>100</v>
      </c>
      <c r="K23" s="49"/>
      <c r="L23" s="50"/>
      <c r="M23" s="72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</row>
    <row r="24" spans="1:33" s="16" customFormat="1" ht="12.75">
      <c r="A24" s="23" t="s">
        <v>7</v>
      </c>
      <c r="B24" s="35" t="s">
        <v>214</v>
      </c>
      <c r="C24" s="36" t="s">
        <v>162</v>
      </c>
      <c r="D24" s="36" t="s">
        <v>212</v>
      </c>
      <c r="E24" s="36"/>
      <c r="F24" s="36"/>
      <c r="G24" s="78">
        <f aca="true" t="shared" si="3" ref="G24:H28">G25</f>
        <v>40.8</v>
      </c>
      <c r="H24" s="78">
        <f t="shared" si="3"/>
        <v>41.8</v>
      </c>
      <c r="I24" s="78">
        <f>I25</f>
        <v>41.8</v>
      </c>
      <c r="J24" s="77">
        <f t="shared" si="1"/>
        <v>100</v>
      </c>
      <c r="K24" s="49">
        <v>29.9</v>
      </c>
      <c r="L24" s="50"/>
      <c r="M24" s="72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</row>
    <row r="25" spans="1:33" s="16" customFormat="1" ht="25.5">
      <c r="A25" s="23" t="s">
        <v>8</v>
      </c>
      <c r="B25" s="24" t="s">
        <v>218</v>
      </c>
      <c r="C25" s="23" t="s">
        <v>162</v>
      </c>
      <c r="D25" s="23" t="s">
        <v>212</v>
      </c>
      <c r="E25" s="99" t="s">
        <v>312</v>
      </c>
      <c r="F25" s="23"/>
      <c r="G25" s="54">
        <f t="shared" si="3"/>
        <v>40.8</v>
      </c>
      <c r="H25" s="54">
        <f t="shared" si="3"/>
        <v>41.8</v>
      </c>
      <c r="I25" s="54">
        <f>I26</f>
        <v>41.8</v>
      </c>
      <c r="J25" s="77">
        <f t="shared" si="1"/>
        <v>100</v>
      </c>
      <c r="K25" s="49"/>
      <c r="L25" s="50"/>
      <c r="M25" s="72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</row>
    <row r="26" spans="1:33" s="16" customFormat="1" ht="25.5">
      <c r="A26" s="23" t="s">
        <v>9</v>
      </c>
      <c r="B26" s="24" t="s">
        <v>235</v>
      </c>
      <c r="C26" s="23" t="s">
        <v>162</v>
      </c>
      <c r="D26" s="23" t="s">
        <v>212</v>
      </c>
      <c r="E26" s="99" t="s">
        <v>313</v>
      </c>
      <c r="F26" s="23"/>
      <c r="G26" s="54">
        <f t="shared" si="3"/>
        <v>40.8</v>
      </c>
      <c r="H26" s="54">
        <f t="shared" si="3"/>
        <v>41.8</v>
      </c>
      <c r="I26" s="54">
        <f>I27</f>
        <v>41.8</v>
      </c>
      <c r="J26" s="77">
        <f t="shared" si="1"/>
        <v>100</v>
      </c>
      <c r="K26" s="49"/>
      <c r="L26" s="50"/>
      <c r="M26" s="72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</row>
    <row r="27" spans="1:33" s="16" customFormat="1" ht="63.75">
      <c r="A27" s="23" t="s">
        <v>10</v>
      </c>
      <c r="B27" s="24" t="s">
        <v>236</v>
      </c>
      <c r="C27" s="23" t="s">
        <v>162</v>
      </c>
      <c r="D27" s="23" t="s">
        <v>212</v>
      </c>
      <c r="E27" s="99" t="s">
        <v>311</v>
      </c>
      <c r="F27" s="23"/>
      <c r="G27" s="54">
        <f t="shared" si="3"/>
        <v>40.8</v>
      </c>
      <c r="H27" s="54">
        <f t="shared" si="3"/>
        <v>41.8</v>
      </c>
      <c r="I27" s="54">
        <f>I28</f>
        <v>41.8</v>
      </c>
      <c r="J27" s="77">
        <f t="shared" si="1"/>
        <v>100</v>
      </c>
      <c r="K27" s="49"/>
      <c r="L27" s="50"/>
      <c r="M27" s="72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>
        <v>39</v>
      </c>
      <c r="AB27" s="75"/>
      <c r="AC27" s="75"/>
      <c r="AD27" s="75"/>
      <c r="AE27" s="75"/>
      <c r="AF27" s="75"/>
      <c r="AG27" s="75"/>
    </row>
    <row r="28" spans="1:33" s="16" customFormat="1" ht="12.75">
      <c r="A28" s="23" t="s">
        <v>11</v>
      </c>
      <c r="B28" s="25" t="s">
        <v>113</v>
      </c>
      <c r="C28" s="23" t="s">
        <v>162</v>
      </c>
      <c r="D28" s="23" t="s">
        <v>212</v>
      </c>
      <c r="E28" s="99" t="s">
        <v>311</v>
      </c>
      <c r="F28" s="23" t="s">
        <v>147</v>
      </c>
      <c r="G28" s="54">
        <f t="shared" si="3"/>
        <v>40.8</v>
      </c>
      <c r="H28" s="54">
        <f t="shared" si="3"/>
        <v>41.8</v>
      </c>
      <c r="I28" s="54">
        <f>I29</f>
        <v>41.8</v>
      </c>
      <c r="J28" s="77">
        <f t="shared" si="1"/>
        <v>100</v>
      </c>
      <c r="K28" s="49"/>
      <c r="L28" s="50"/>
      <c r="M28" s="72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</row>
    <row r="29" spans="1:33" s="16" customFormat="1" ht="12.75">
      <c r="A29" s="23" t="s">
        <v>12</v>
      </c>
      <c r="B29" s="25" t="s">
        <v>237</v>
      </c>
      <c r="C29" s="23" t="s">
        <v>162</v>
      </c>
      <c r="D29" s="23" t="s">
        <v>212</v>
      </c>
      <c r="E29" s="99" t="s">
        <v>311</v>
      </c>
      <c r="F29" s="23" t="s">
        <v>238</v>
      </c>
      <c r="G29" s="58">
        <v>40.8</v>
      </c>
      <c r="H29" s="58">
        <f>40.8+1</f>
        <v>41.8</v>
      </c>
      <c r="I29" s="58">
        <v>41.8</v>
      </c>
      <c r="J29" s="77">
        <f t="shared" si="1"/>
        <v>100</v>
      </c>
      <c r="K29" s="49"/>
      <c r="L29" s="50"/>
      <c r="M29" s="72"/>
      <c r="N29" s="75"/>
      <c r="O29" s="75">
        <v>35.9</v>
      </c>
      <c r="P29" s="75"/>
      <c r="Q29" s="75"/>
      <c r="R29" s="75"/>
      <c r="S29" s="75"/>
      <c r="T29" s="75">
        <v>35.9</v>
      </c>
      <c r="U29" s="75"/>
      <c r="V29" s="75"/>
      <c r="W29" s="75"/>
      <c r="X29" s="75"/>
      <c r="Y29" s="75">
        <v>4</v>
      </c>
      <c r="Z29" s="75"/>
      <c r="AA29" s="75"/>
      <c r="AB29" s="75"/>
      <c r="AC29" s="75">
        <v>40.8</v>
      </c>
      <c r="AD29" s="75"/>
      <c r="AE29" s="75"/>
      <c r="AF29" s="75"/>
      <c r="AG29" s="75"/>
    </row>
    <row r="30" spans="1:33" s="16" customFormat="1" ht="12.75">
      <c r="A30" s="23" t="s">
        <v>13</v>
      </c>
      <c r="B30" s="34" t="s">
        <v>239</v>
      </c>
      <c r="C30" s="31" t="s">
        <v>162</v>
      </c>
      <c r="D30" s="31" t="s">
        <v>242</v>
      </c>
      <c r="E30" s="31" t="s">
        <v>160</v>
      </c>
      <c r="F30" s="31" t="s">
        <v>160</v>
      </c>
      <c r="G30" s="77">
        <f aca="true" t="shared" si="4" ref="G30:H35">G31</f>
        <v>1033.2</v>
      </c>
      <c r="H30" s="77">
        <f t="shared" si="4"/>
        <v>1241.8</v>
      </c>
      <c r="I30" s="77">
        <f aca="true" t="shared" si="5" ref="I30:I35">I31</f>
        <v>1148.5</v>
      </c>
      <c r="J30" s="77">
        <f t="shared" si="1"/>
        <v>92.48671283620551</v>
      </c>
      <c r="K30" s="49">
        <v>706.9</v>
      </c>
      <c r="L30" s="50"/>
      <c r="M30" s="72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</row>
    <row r="31" spans="1:33" s="16" customFormat="1" ht="12.75">
      <c r="A31" s="23" t="s">
        <v>14</v>
      </c>
      <c r="B31" s="35" t="s">
        <v>240</v>
      </c>
      <c r="C31" s="36" t="s">
        <v>162</v>
      </c>
      <c r="D31" s="36" t="s">
        <v>243</v>
      </c>
      <c r="E31" s="36" t="s">
        <v>160</v>
      </c>
      <c r="F31" s="36" t="s">
        <v>160</v>
      </c>
      <c r="G31" s="78">
        <f t="shared" si="4"/>
        <v>1033.2</v>
      </c>
      <c r="H31" s="78">
        <f t="shared" si="4"/>
        <v>1241.8</v>
      </c>
      <c r="I31" s="78">
        <f t="shared" si="5"/>
        <v>1148.5</v>
      </c>
      <c r="J31" s="77">
        <f t="shared" si="1"/>
        <v>92.48671283620551</v>
      </c>
      <c r="K31" s="49"/>
      <c r="L31" s="50"/>
      <c r="M31" s="72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</row>
    <row r="32" spans="1:33" s="16" customFormat="1" ht="25.5">
      <c r="A32" s="23" t="s">
        <v>15</v>
      </c>
      <c r="B32" s="24" t="s">
        <v>218</v>
      </c>
      <c r="C32" s="23" t="s">
        <v>162</v>
      </c>
      <c r="D32" s="23" t="s">
        <v>243</v>
      </c>
      <c r="E32" s="99" t="s">
        <v>312</v>
      </c>
      <c r="F32" s="23"/>
      <c r="G32" s="54">
        <f t="shared" si="4"/>
        <v>1033.2</v>
      </c>
      <c r="H32" s="54">
        <f t="shared" si="4"/>
        <v>1241.8</v>
      </c>
      <c r="I32" s="54">
        <f t="shared" si="5"/>
        <v>1148.5</v>
      </c>
      <c r="J32" s="77">
        <f t="shared" si="1"/>
        <v>92.48671283620551</v>
      </c>
      <c r="K32" s="49"/>
      <c r="L32" s="50"/>
      <c r="M32" s="72"/>
      <c r="N32" s="75"/>
      <c r="O32" s="75"/>
      <c r="P32" s="75"/>
      <c r="Q32" s="8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</row>
    <row r="33" spans="1:33" s="15" customFormat="1" ht="25.5">
      <c r="A33" s="23" t="s">
        <v>16</v>
      </c>
      <c r="B33" s="24" t="s">
        <v>235</v>
      </c>
      <c r="C33" s="23" t="s">
        <v>162</v>
      </c>
      <c r="D33" s="23" t="s">
        <v>243</v>
      </c>
      <c r="E33" s="99" t="s">
        <v>313</v>
      </c>
      <c r="F33" s="23"/>
      <c r="G33" s="54">
        <f t="shared" si="4"/>
        <v>1033.2</v>
      </c>
      <c r="H33" s="54">
        <f t="shared" si="4"/>
        <v>1241.8</v>
      </c>
      <c r="I33" s="54">
        <f>I34</f>
        <v>1148.5</v>
      </c>
      <c r="J33" s="77">
        <f t="shared" si="1"/>
        <v>92.48671283620551</v>
      </c>
      <c r="K33" s="47"/>
      <c r="L33" s="48"/>
      <c r="M33" s="86"/>
      <c r="N33" s="83"/>
      <c r="O33" s="83"/>
      <c r="P33" s="83"/>
      <c r="Q33" s="87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</row>
    <row r="34" spans="1:33" s="16" customFormat="1" ht="56.25" customHeight="1">
      <c r="A34" s="23" t="s">
        <v>414</v>
      </c>
      <c r="B34" s="24" t="s">
        <v>241</v>
      </c>
      <c r="C34" s="23" t="s">
        <v>162</v>
      </c>
      <c r="D34" s="23" t="s">
        <v>243</v>
      </c>
      <c r="E34" s="99" t="s">
        <v>401</v>
      </c>
      <c r="F34" s="23"/>
      <c r="G34" s="54">
        <f t="shared" si="4"/>
        <v>1033.2</v>
      </c>
      <c r="H34" s="54">
        <f t="shared" si="4"/>
        <v>1241.8</v>
      </c>
      <c r="I34" s="54">
        <f t="shared" si="5"/>
        <v>1148.5</v>
      </c>
      <c r="J34" s="77">
        <f t="shared" si="1"/>
        <v>92.48671283620551</v>
      </c>
      <c r="K34" s="49"/>
      <c r="L34" s="50"/>
      <c r="M34" s="72"/>
      <c r="N34" s="75"/>
      <c r="O34" s="75"/>
      <c r="P34" s="75"/>
      <c r="Q34" s="8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</row>
    <row r="35" spans="1:33" s="16" customFormat="1" ht="12.75">
      <c r="A35" s="23" t="s">
        <v>415</v>
      </c>
      <c r="B35" s="25" t="s">
        <v>113</v>
      </c>
      <c r="C35" s="23" t="s">
        <v>162</v>
      </c>
      <c r="D35" s="23" t="s">
        <v>243</v>
      </c>
      <c r="E35" s="99" t="s">
        <v>401</v>
      </c>
      <c r="F35" s="23" t="s">
        <v>147</v>
      </c>
      <c r="G35" s="54">
        <f t="shared" si="4"/>
        <v>1033.2</v>
      </c>
      <c r="H35" s="54">
        <f t="shared" si="4"/>
        <v>1241.8</v>
      </c>
      <c r="I35" s="54">
        <f t="shared" si="5"/>
        <v>1148.5</v>
      </c>
      <c r="J35" s="77">
        <f t="shared" si="1"/>
        <v>92.48671283620551</v>
      </c>
      <c r="K35" s="49"/>
      <c r="L35" s="50"/>
      <c r="M35" s="72"/>
      <c r="N35" s="75"/>
      <c r="O35" s="75"/>
      <c r="P35" s="75"/>
      <c r="Q35" s="8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</row>
    <row r="36" spans="1:33" s="16" customFormat="1" ht="12.75">
      <c r="A36" s="23" t="s">
        <v>416</v>
      </c>
      <c r="B36" s="25" t="s">
        <v>237</v>
      </c>
      <c r="C36" s="23" t="s">
        <v>162</v>
      </c>
      <c r="D36" s="23" t="s">
        <v>243</v>
      </c>
      <c r="E36" s="99" t="s">
        <v>401</v>
      </c>
      <c r="F36" s="23" t="s">
        <v>238</v>
      </c>
      <c r="G36" s="58">
        <v>1033.2</v>
      </c>
      <c r="H36" s="58">
        <f>1033.2+208.6</f>
        <v>1241.8</v>
      </c>
      <c r="I36" s="58">
        <v>1148.5</v>
      </c>
      <c r="J36" s="77">
        <f t="shared" si="1"/>
        <v>92.48671283620551</v>
      </c>
      <c r="K36" s="49"/>
      <c r="L36" s="50"/>
      <c r="M36" s="72">
        <v>90.5</v>
      </c>
      <c r="N36" s="75"/>
      <c r="O36" s="75"/>
      <c r="P36" s="75"/>
      <c r="Q36" s="85"/>
      <c r="R36" s="75"/>
      <c r="S36" s="75"/>
      <c r="T36" s="75">
        <v>874.3</v>
      </c>
      <c r="U36" s="75"/>
      <c r="V36" s="75"/>
      <c r="W36" s="75"/>
      <c r="X36" s="75"/>
      <c r="Y36" s="75"/>
      <c r="Z36" s="75"/>
      <c r="AA36" s="75">
        <v>1017.8</v>
      </c>
      <c r="AB36" s="75"/>
      <c r="AC36" s="75">
        <v>1033.2</v>
      </c>
      <c r="AD36" s="75">
        <v>208.6</v>
      </c>
      <c r="AE36" s="75"/>
      <c r="AF36" s="75"/>
      <c r="AG36" s="75"/>
    </row>
    <row r="37" spans="1:33" s="16" customFormat="1" ht="12.75">
      <c r="A37" s="23" t="s">
        <v>967</v>
      </c>
      <c r="B37" s="34" t="s">
        <v>256</v>
      </c>
      <c r="C37" s="31" t="s">
        <v>162</v>
      </c>
      <c r="D37" s="31" t="s">
        <v>276</v>
      </c>
      <c r="E37" s="100"/>
      <c r="F37" s="31"/>
      <c r="G37" s="79">
        <f aca="true" t="shared" si="6" ref="G37:I42">SUM(G38)</f>
        <v>0</v>
      </c>
      <c r="H37" s="79">
        <f t="shared" si="6"/>
        <v>1239.5</v>
      </c>
      <c r="I37" s="79">
        <f t="shared" si="6"/>
        <v>1239.5</v>
      </c>
      <c r="J37" s="77">
        <f t="shared" si="1"/>
        <v>100</v>
      </c>
      <c r="K37" s="49"/>
      <c r="L37" s="50"/>
      <c r="M37" s="72"/>
      <c r="N37" s="75"/>
      <c r="O37" s="75"/>
      <c r="P37" s="75"/>
      <c r="Q37" s="8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</row>
    <row r="38" spans="1:33" s="16" customFormat="1" ht="12.75">
      <c r="A38" s="23" t="s">
        <v>968</v>
      </c>
      <c r="B38" s="114" t="s">
        <v>1183</v>
      </c>
      <c r="C38" s="36" t="s">
        <v>162</v>
      </c>
      <c r="D38" s="36" t="s">
        <v>550</v>
      </c>
      <c r="E38" s="101"/>
      <c r="F38" s="36"/>
      <c r="G38" s="80">
        <f>SUM(G39)</f>
        <v>0</v>
      </c>
      <c r="H38" s="80">
        <f>SUM(H39)</f>
        <v>1239.5</v>
      </c>
      <c r="I38" s="58">
        <f t="shared" si="6"/>
        <v>1239.5</v>
      </c>
      <c r="J38" s="77">
        <f t="shared" si="1"/>
        <v>100</v>
      </c>
      <c r="K38" s="49"/>
      <c r="L38" s="50"/>
      <c r="M38" s="72"/>
      <c r="N38" s="75"/>
      <c r="O38" s="75"/>
      <c r="P38" s="75"/>
      <c r="Q38" s="8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</row>
    <row r="39" spans="1:33" s="16" customFormat="1" ht="38.25">
      <c r="A39" s="23" t="s">
        <v>969</v>
      </c>
      <c r="B39" s="24" t="s">
        <v>257</v>
      </c>
      <c r="C39" s="23" t="s">
        <v>162</v>
      </c>
      <c r="D39" s="23" t="s">
        <v>550</v>
      </c>
      <c r="E39" s="99" t="s">
        <v>337</v>
      </c>
      <c r="F39" s="23"/>
      <c r="G39" s="58">
        <f>SUM(G40)</f>
        <v>0</v>
      </c>
      <c r="H39" s="58">
        <f>SUM(H40)</f>
        <v>1239.5</v>
      </c>
      <c r="I39" s="58">
        <f t="shared" si="6"/>
        <v>1239.5</v>
      </c>
      <c r="J39" s="77">
        <f t="shared" si="1"/>
        <v>100</v>
      </c>
      <c r="K39" s="49"/>
      <c r="L39" s="50"/>
      <c r="M39" s="72"/>
      <c r="N39" s="75"/>
      <c r="O39" s="75"/>
      <c r="P39" s="75"/>
      <c r="Q39" s="8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</row>
    <row r="40" spans="1:33" s="16" customFormat="1" ht="51">
      <c r="A40" s="23" t="s">
        <v>970</v>
      </c>
      <c r="B40" s="24" t="s">
        <v>258</v>
      </c>
      <c r="C40" s="23" t="s">
        <v>162</v>
      </c>
      <c r="D40" s="23" t="s">
        <v>550</v>
      </c>
      <c r="E40" s="99" t="s">
        <v>338</v>
      </c>
      <c r="F40" s="23"/>
      <c r="G40" s="58">
        <f t="shared" si="6"/>
        <v>0</v>
      </c>
      <c r="H40" s="58">
        <f t="shared" si="6"/>
        <v>1239.5</v>
      </c>
      <c r="I40" s="58">
        <f t="shared" si="6"/>
        <v>1239.5</v>
      </c>
      <c r="J40" s="77">
        <f t="shared" si="1"/>
        <v>100</v>
      </c>
      <c r="K40" s="49"/>
      <c r="L40" s="50"/>
      <c r="M40" s="72"/>
      <c r="N40" s="75"/>
      <c r="O40" s="75"/>
      <c r="P40" s="75"/>
      <c r="Q40" s="8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</row>
    <row r="41" spans="1:33" s="16" customFormat="1" ht="114.75">
      <c r="A41" s="23" t="s">
        <v>971</v>
      </c>
      <c r="B41" s="115" t="s">
        <v>1184</v>
      </c>
      <c r="C41" s="23" t="s">
        <v>162</v>
      </c>
      <c r="D41" s="23" t="s">
        <v>550</v>
      </c>
      <c r="E41" s="99" t="s">
        <v>1185</v>
      </c>
      <c r="F41" s="23"/>
      <c r="G41" s="58">
        <f t="shared" si="6"/>
        <v>0</v>
      </c>
      <c r="H41" s="58">
        <f t="shared" si="6"/>
        <v>1239.5</v>
      </c>
      <c r="I41" s="58">
        <f t="shared" si="6"/>
        <v>1239.5</v>
      </c>
      <c r="J41" s="77">
        <f t="shared" si="1"/>
        <v>100</v>
      </c>
      <c r="K41" s="49"/>
      <c r="L41" s="50"/>
      <c r="M41" s="72"/>
      <c r="N41" s="75"/>
      <c r="O41" s="75"/>
      <c r="P41" s="75"/>
      <c r="Q41" s="8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</row>
    <row r="42" spans="1:33" s="16" customFormat="1" ht="12.75">
      <c r="A42" s="23" t="s">
        <v>972</v>
      </c>
      <c r="B42" s="25" t="s">
        <v>113</v>
      </c>
      <c r="C42" s="23" t="s">
        <v>162</v>
      </c>
      <c r="D42" s="23" t="s">
        <v>550</v>
      </c>
      <c r="E42" s="99" t="s">
        <v>1185</v>
      </c>
      <c r="F42" s="23" t="s">
        <v>147</v>
      </c>
      <c r="G42" s="58">
        <f t="shared" si="6"/>
        <v>0</v>
      </c>
      <c r="H42" s="58">
        <f t="shared" si="6"/>
        <v>1239.5</v>
      </c>
      <c r="I42" s="58">
        <f t="shared" si="6"/>
        <v>1239.5</v>
      </c>
      <c r="J42" s="77">
        <f t="shared" si="1"/>
        <v>100</v>
      </c>
      <c r="K42" s="49"/>
      <c r="L42" s="50"/>
      <c r="M42" s="72"/>
      <c r="N42" s="75"/>
      <c r="O42" s="75"/>
      <c r="P42" s="75"/>
      <c r="Q42" s="8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</row>
    <row r="43" spans="1:33" s="16" customFormat="1" ht="12.75">
      <c r="A43" s="23" t="s">
        <v>973</v>
      </c>
      <c r="B43" s="25" t="s">
        <v>143</v>
      </c>
      <c r="C43" s="23" t="s">
        <v>162</v>
      </c>
      <c r="D43" s="23" t="s">
        <v>550</v>
      </c>
      <c r="E43" s="99" t="s">
        <v>1185</v>
      </c>
      <c r="F43" s="23" t="s">
        <v>146</v>
      </c>
      <c r="G43" s="58">
        <v>0</v>
      </c>
      <c r="H43" s="58">
        <v>1239.5</v>
      </c>
      <c r="I43" s="58">
        <v>1239.5</v>
      </c>
      <c r="J43" s="77">
        <f t="shared" si="1"/>
        <v>100</v>
      </c>
      <c r="K43" s="49"/>
      <c r="L43" s="50"/>
      <c r="M43" s="72"/>
      <c r="N43" s="75"/>
      <c r="O43" s="75"/>
      <c r="P43" s="75"/>
      <c r="Q43" s="8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>
        <v>1239.5</v>
      </c>
      <c r="AE43" s="75"/>
      <c r="AF43" s="75"/>
      <c r="AG43" s="75"/>
    </row>
    <row r="44" spans="1:33" s="16" customFormat="1" ht="12.75">
      <c r="A44" s="23" t="s">
        <v>596</v>
      </c>
      <c r="B44" s="34" t="s">
        <v>244</v>
      </c>
      <c r="C44" s="31" t="s">
        <v>162</v>
      </c>
      <c r="D44" s="31" t="s">
        <v>260</v>
      </c>
      <c r="E44" s="100"/>
      <c r="F44" s="31"/>
      <c r="G44" s="79">
        <f>SUM(G45)</f>
        <v>2117.8</v>
      </c>
      <c r="H44" s="79">
        <f>SUM(H45)</f>
        <v>2117.8</v>
      </c>
      <c r="I44" s="79">
        <f aca="true" t="shared" si="7" ref="G44:I46">SUM(I45)</f>
        <v>2117.8</v>
      </c>
      <c r="J44" s="77">
        <f t="shared" si="1"/>
        <v>100</v>
      </c>
      <c r="K44" s="49"/>
      <c r="L44" s="50"/>
      <c r="M44" s="72"/>
      <c r="N44" s="75"/>
      <c r="O44" s="43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</row>
    <row r="45" spans="1:33" s="16" customFormat="1" ht="12.75">
      <c r="A45" s="23" t="s">
        <v>417</v>
      </c>
      <c r="B45" s="35" t="s">
        <v>551</v>
      </c>
      <c r="C45" s="36" t="s">
        <v>162</v>
      </c>
      <c r="D45" s="36" t="s">
        <v>552</v>
      </c>
      <c r="E45" s="36"/>
      <c r="F45" s="36"/>
      <c r="G45" s="58">
        <f t="shared" si="7"/>
        <v>2117.8</v>
      </c>
      <c r="H45" s="58">
        <f t="shared" si="7"/>
        <v>2117.8</v>
      </c>
      <c r="I45" s="58">
        <f t="shared" si="7"/>
        <v>2117.8</v>
      </c>
      <c r="J45" s="77">
        <f t="shared" si="1"/>
        <v>100</v>
      </c>
      <c r="K45" s="49"/>
      <c r="L45" s="50"/>
      <c r="M45" s="72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</row>
    <row r="46" spans="1:33" s="16" customFormat="1" ht="25.5">
      <c r="A46" s="23" t="s">
        <v>418</v>
      </c>
      <c r="B46" s="25" t="s">
        <v>553</v>
      </c>
      <c r="C46" s="23" t="s">
        <v>162</v>
      </c>
      <c r="D46" s="23" t="s">
        <v>552</v>
      </c>
      <c r="E46" s="23" t="s">
        <v>344</v>
      </c>
      <c r="F46" s="23"/>
      <c r="G46" s="58">
        <f>SUM(G47)</f>
        <v>2117.8</v>
      </c>
      <c r="H46" s="58">
        <f>SUM(H47)</f>
        <v>2117.8</v>
      </c>
      <c r="I46" s="58">
        <f t="shared" si="7"/>
        <v>2117.8</v>
      </c>
      <c r="J46" s="77">
        <f t="shared" si="1"/>
        <v>100</v>
      </c>
      <c r="K46" s="49"/>
      <c r="L46" s="50"/>
      <c r="M46" s="72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</row>
    <row r="47" spans="1:33" s="16" customFormat="1" ht="12.75">
      <c r="A47" s="23" t="s">
        <v>419</v>
      </c>
      <c r="B47" s="25" t="s">
        <v>554</v>
      </c>
      <c r="C47" s="23" t="s">
        <v>162</v>
      </c>
      <c r="D47" s="23" t="s">
        <v>552</v>
      </c>
      <c r="E47" s="23" t="s">
        <v>555</v>
      </c>
      <c r="F47" s="23"/>
      <c r="G47" s="58">
        <f>SUM(G48)</f>
        <v>2117.8</v>
      </c>
      <c r="H47" s="58">
        <f>SUM(H48)</f>
        <v>2117.8</v>
      </c>
      <c r="I47" s="58">
        <f>SUM(I48)</f>
        <v>2117.8</v>
      </c>
      <c r="J47" s="77">
        <f t="shared" si="1"/>
        <v>100</v>
      </c>
      <c r="K47" s="49"/>
      <c r="L47" s="50"/>
      <c r="M47" s="72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</row>
    <row r="48" spans="1:33" s="16" customFormat="1" ht="84" customHeight="1">
      <c r="A48" s="23" t="s">
        <v>420</v>
      </c>
      <c r="B48" s="39" t="s">
        <v>944</v>
      </c>
      <c r="C48" s="23" t="s">
        <v>162</v>
      </c>
      <c r="D48" s="23" t="s">
        <v>552</v>
      </c>
      <c r="E48" s="23" t="s">
        <v>867</v>
      </c>
      <c r="F48" s="23"/>
      <c r="G48" s="26">
        <f aca="true" t="shared" si="8" ref="G48:I49">SUM(G49)</f>
        <v>2117.8</v>
      </c>
      <c r="H48" s="26">
        <f t="shared" si="8"/>
        <v>2117.8</v>
      </c>
      <c r="I48" s="26">
        <f t="shared" si="8"/>
        <v>2117.8</v>
      </c>
      <c r="J48" s="77">
        <f t="shared" si="1"/>
        <v>100</v>
      </c>
      <c r="K48" s="49"/>
      <c r="L48" s="50"/>
      <c r="M48" s="72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</row>
    <row r="49" spans="1:33" s="16" customFormat="1" ht="12.75">
      <c r="A49" s="23" t="s">
        <v>597</v>
      </c>
      <c r="B49" s="25" t="s">
        <v>113</v>
      </c>
      <c r="C49" s="23" t="s">
        <v>162</v>
      </c>
      <c r="D49" s="23" t="s">
        <v>552</v>
      </c>
      <c r="E49" s="23" t="s">
        <v>867</v>
      </c>
      <c r="F49" s="23" t="s">
        <v>147</v>
      </c>
      <c r="G49" s="26">
        <f>SUM(G50)</f>
        <v>2117.8</v>
      </c>
      <c r="H49" s="26">
        <f>SUM(H50)</f>
        <v>2117.8</v>
      </c>
      <c r="I49" s="26">
        <f t="shared" si="8"/>
        <v>2117.8</v>
      </c>
      <c r="J49" s="77">
        <f t="shared" si="1"/>
        <v>100</v>
      </c>
      <c r="K49" s="49"/>
      <c r="L49" s="50"/>
      <c r="M49" s="72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</row>
    <row r="50" spans="1:33" s="16" customFormat="1" ht="12.75">
      <c r="A50" s="23" t="s">
        <v>598</v>
      </c>
      <c r="B50" s="25" t="s">
        <v>143</v>
      </c>
      <c r="C50" s="23" t="s">
        <v>162</v>
      </c>
      <c r="D50" s="23" t="s">
        <v>552</v>
      </c>
      <c r="E50" s="23" t="s">
        <v>867</v>
      </c>
      <c r="F50" s="23" t="s">
        <v>146</v>
      </c>
      <c r="G50" s="26">
        <v>2117.8</v>
      </c>
      <c r="H50" s="26">
        <v>2117.8</v>
      </c>
      <c r="I50" s="26">
        <v>2117.8</v>
      </c>
      <c r="J50" s="77">
        <f t="shared" si="1"/>
        <v>100</v>
      </c>
      <c r="K50" s="49"/>
      <c r="L50" s="50"/>
      <c r="M50" s="72">
        <v>4332.8</v>
      </c>
      <c r="N50" s="75"/>
      <c r="O50" s="75">
        <v>2144.8</v>
      </c>
      <c r="P50" s="75"/>
      <c r="Q50" s="75"/>
      <c r="R50" s="75"/>
      <c r="S50" s="75"/>
      <c r="T50" s="75">
        <v>2230.6</v>
      </c>
      <c r="U50" s="75"/>
      <c r="V50" s="75"/>
      <c r="W50" s="75"/>
      <c r="X50" s="75"/>
      <c r="Y50" s="75"/>
      <c r="Z50" s="75">
        <v>811.4</v>
      </c>
      <c r="AA50" s="75"/>
      <c r="AB50" s="75">
        <v>2117.8</v>
      </c>
      <c r="AC50" s="75"/>
      <c r="AD50" s="75"/>
      <c r="AE50" s="75"/>
      <c r="AF50" s="75"/>
      <c r="AG50" s="75"/>
    </row>
    <row r="51" spans="1:33" s="16" customFormat="1" ht="12.75">
      <c r="A51" s="23" t="s">
        <v>974</v>
      </c>
      <c r="B51" s="34" t="s">
        <v>286</v>
      </c>
      <c r="C51" s="31" t="s">
        <v>162</v>
      </c>
      <c r="D51" s="31" t="s">
        <v>284</v>
      </c>
      <c r="E51" s="99"/>
      <c r="F51" s="23"/>
      <c r="G51" s="79">
        <f>SUM(G58+G70+G52)</f>
        <v>2425</v>
      </c>
      <c r="H51" s="79">
        <f>SUM(H58+H70+H52)</f>
        <v>6222.900000000001</v>
      </c>
      <c r="I51" s="79">
        <f>SUM(I58+I70+I52)</f>
        <v>6127.6</v>
      </c>
      <c r="J51" s="77">
        <f t="shared" si="1"/>
        <v>98.46855967474971</v>
      </c>
      <c r="K51" s="49"/>
      <c r="L51" s="50">
        <v>936.9</v>
      </c>
      <c r="M51" s="72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</row>
    <row r="52" spans="1:33" s="16" customFormat="1" ht="12.75">
      <c r="A52" s="23" t="s">
        <v>975</v>
      </c>
      <c r="B52" s="35" t="s">
        <v>287</v>
      </c>
      <c r="C52" s="36" t="s">
        <v>162</v>
      </c>
      <c r="D52" s="36" t="s">
        <v>285</v>
      </c>
      <c r="E52" s="101"/>
      <c r="F52" s="36"/>
      <c r="G52" s="80">
        <f aca="true" t="shared" si="9" ref="G52:I54">G53</f>
        <v>0</v>
      </c>
      <c r="H52" s="80">
        <f t="shared" si="9"/>
        <v>2776.6000000000004</v>
      </c>
      <c r="I52" s="80">
        <f t="shared" si="9"/>
        <v>2776.6</v>
      </c>
      <c r="J52" s="77">
        <f t="shared" si="1"/>
        <v>99.99999999999999</v>
      </c>
      <c r="K52" s="49"/>
      <c r="L52" s="50"/>
      <c r="M52" s="72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</row>
    <row r="53" spans="1:33" s="16" customFormat="1" ht="51">
      <c r="A53" s="23" t="s">
        <v>976</v>
      </c>
      <c r="B53" s="24" t="s">
        <v>293</v>
      </c>
      <c r="C53" s="23" t="s">
        <v>162</v>
      </c>
      <c r="D53" s="23" t="s">
        <v>285</v>
      </c>
      <c r="E53" s="23" t="s">
        <v>363</v>
      </c>
      <c r="F53" s="23"/>
      <c r="G53" s="58">
        <f t="shared" si="9"/>
        <v>0</v>
      </c>
      <c r="H53" s="58">
        <f t="shared" si="9"/>
        <v>2776.6000000000004</v>
      </c>
      <c r="I53" s="58">
        <f t="shared" si="9"/>
        <v>2776.6</v>
      </c>
      <c r="J53" s="77">
        <f t="shared" si="1"/>
        <v>99.99999999999999</v>
      </c>
      <c r="K53" s="49"/>
      <c r="L53" s="50"/>
      <c r="M53" s="72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</row>
    <row r="54" spans="1:33" s="16" customFormat="1" ht="25.5">
      <c r="A54" s="23" t="s">
        <v>977</v>
      </c>
      <c r="B54" s="22" t="s">
        <v>294</v>
      </c>
      <c r="C54" s="23" t="s">
        <v>162</v>
      </c>
      <c r="D54" s="36" t="s">
        <v>285</v>
      </c>
      <c r="E54" s="23" t="s">
        <v>364</v>
      </c>
      <c r="F54" s="23"/>
      <c r="G54" s="58">
        <f t="shared" si="9"/>
        <v>0</v>
      </c>
      <c r="H54" s="58">
        <f t="shared" si="9"/>
        <v>2776.6000000000004</v>
      </c>
      <c r="I54" s="58">
        <f t="shared" si="9"/>
        <v>2776.6</v>
      </c>
      <c r="J54" s="77">
        <f t="shared" si="1"/>
        <v>99.99999999999999</v>
      </c>
      <c r="K54" s="49"/>
      <c r="L54" s="50"/>
      <c r="M54" s="72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</row>
    <row r="55" spans="1:33" s="16" customFormat="1" ht="89.25">
      <c r="A55" s="23" t="s">
        <v>978</v>
      </c>
      <c r="B55" s="22" t="s">
        <v>1199</v>
      </c>
      <c r="C55" s="23" t="s">
        <v>162</v>
      </c>
      <c r="D55" s="23" t="s">
        <v>285</v>
      </c>
      <c r="E55" s="23" t="s">
        <v>1198</v>
      </c>
      <c r="F55" s="23"/>
      <c r="G55" s="58">
        <f aca="true" t="shared" si="10" ref="G55:I56">G56</f>
        <v>0</v>
      </c>
      <c r="H55" s="58">
        <f t="shared" si="10"/>
        <v>2776.6000000000004</v>
      </c>
      <c r="I55" s="58">
        <f t="shared" si="10"/>
        <v>2776.6</v>
      </c>
      <c r="J55" s="77">
        <f t="shared" si="1"/>
        <v>99.99999999999999</v>
      </c>
      <c r="K55" s="49"/>
      <c r="L55" s="50"/>
      <c r="M55" s="72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</row>
    <row r="56" spans="1:33" s="16" customFormat="1" ht="12.75">
      <c r="A56" s="23" t="s">
        <v>979</v>
      </c>
      <c r="B56" s="25" t="s">
        <v>113</v>
      </c>
      <c r="C56" s="23" t="s">
        <v>162</v>
      </c>
      <c r="D56" s="23" t="s">
        <v>285</v>
      </c>
      <c r="E56" s="23" t="s">
        <v>1198</v>
      </c>
      <c r="F56" s="23" t="s">
        <v>147</v>
      </c>
      <c r="G56" s="58">
        <f t="shared" si="10"/>
        <v>0</v>
      </c>
      <c r="H56" s="58">
        <f t="shared" si="10"/>
        <v>2776.6000000000004</v>
      </c>
      <c r="I56" s="58">
        <f t="shared" si="10"/>
        <v>2776.6</v>
      </c>
      <c r="J56" s="77">
        <f t="shared" si="1"/>
        <v>99.99999999999999</v>
      </c>
      <c r="K56" s="49"/>
      <c r="L56" s="50"/>
      <c r="M56" s="72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</row>
    <row r="57" spans="1:33" s="16" customFormat="1" ht="12.75">
      <c r="A57" s="23" t="s">
        <v>980</v>
      </c>
      <c r="B57" s="25" t="s">
        <v>143</v>
      </c>
      <c r="C57" s="23" t="s">
        <v>162</v>
      </c>
      <c r="D57" s="23" t="s">
        <v>285</v>
      </c>
      <c r="E57" s="23" t="s">
        <v>1198</v>
      </c>
      <c r="F57" s="23" t="s">
        <v>146</v>
      </c>
      <c r="G57" s="58">
        <v>0</v>
      </c>
      <c r="H57" s="58">
        <f>1730.2-505.4+1551.8</f>
        <v>2776.6000000000004</v>
      </c>
      <c r="I57" s="58">
        <v>2776.6</v>
      </c>
      <c r="J57" s="77">
        <f t="shared" si="1"/>
        <v>99.99999999999999</v>
      </c>
      <c r="K57" s="49"/>
      <c r="L57" s="50"/>
      <c r="M57" s="72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>
        <f>1730.2-505.4</f>
        <v>1224.8000000000002</v>
      </c>
      <c r="AF57" s="75">
        <v>1551.8</v>
      </c>
      <c r="AG57" s="75"/>
    </row>
    <row r="58" spans="1:33" s="16" customFormat="1" ht="12.75">
      <c r="A58" s="23" t="s">
        <v>981</v>
      </c>
      <c r="B58" s="37" t="s">
        <v>950</v>
      </c>
      <c r="C58" s="36" t="s">
        <v>162</v>
      </c>
      <c r="D58" s="36" t="s">
        <v>646</v>
      </c>
      <c r="E58" s="99"/>
      <c r="F58" s="23"/>
      <c r="G58" s="80">
        <f>G59</f>
        <v>1055</v>
      </c>
      <c r="H58" s="80">
        <f>H59</f>
        <v>2076.3</v>
      </c>
      <c r="I58" s="80">
        <f>I59</f>
        <v>2001</v>
      </c>
      <c r="J58" s="77">
        <f t="shared" si="1"/>
        <v>96.37335645137985</v>
      </c>
      <c r="K58" s="49"/>
      <c r="L58" s="50"/>
      <c r="M58" s="72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</row>
    <row r="59" spans="1:33" s="16" customFormat="1" ht="51">
      <c r="A59" s="23" t="s">
        <v>982</v>
      </c>
      <c r="B59" s="24" t="s">
        <v>293</v>
      </c>
      <c r="C59" s="36" t="s">
        <v>162</v>
      </c>
      <c r="D59" s="36" t="s">
        <v>646</v>
      </c>
      <c r="E59" s="101" t="s">
        <v>363</v>
      </c>
      <c r="F59" s="36"/>
      <c r="G59" s="108">
        <f>SUM(G60)</f>
        <v>1055</v>
      </c>
      <c r="H59" s="108">
        <f>SUM(H60)</f>
        <v>2076.3</v>
      </c>
      <c r="I59" s="108">
        <f>SUM(I60)</f>
        <v>2001</v>
      </c>
      <c r="J59" s="77">
        <f t="shared" si="1"/>
        <v>96.37335645137985</v>
      </c>
      <c r="K59" s="49"/>
      <c r="L59" s="50"/>
      <c r="M59" s="72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</row>
    <row r="60" spans="1:33" s="16" customFormat="1" ht="25.5">
      <c r="A60" s="23" t="s">
        <v>983</v>
      </c>
      <c r="B60" s="22" t="s">
        <v>294</v>
      </c>
      <c r="C60" s="23" t="s">
        <v>162</v>
      </c>
      <c r="D60" s="23" t="s">
        <v>646</v>
      </c>
      <c r="E60" s="23" t="s">
        <v>364</v>
      </c>
      <c r="F60" s="23"/>
      <c r="G60" s="26">
        <f>SUM(G64+G61+G67)</f>
        <v>1055</v>
      </c>
      <c r="H60" s="26">
        <f>SUM(H64+H61+H67)</f>
        <v>2076.3</v>
      </c>
      <c r="I60" s="26">
        <f>SUM(I64+I61+I67)</f>
        <v>2001</v>
      </c>
      <c r="J60" s="77">
        <f t="shared" si="1"/>
        <v>96.37335645137985</v>
      </c>
      <c r="K60" s="49"/>
      <c r="L60" s="50"/>
      <c r="M60" s="72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</row>
    <row r="61" spans="1:33" s="16" customFormat="1" ht="89.25">
      <c r="A61" s="23" t="s">
        <v>868</v>
      </c>
      <c r="B61" s="39" t="s">
        <v>1359</v>
      </c>
      <c r="C61" s="23" t="s">
        <v>162</v>
      </c>
      <c r="D61" s="23" t="s">
        <v>646</v>
      </c>
      <c r="E61" s="23" t="s">
        <v>1360</v>
      </c>
      <c r="F61" s="23"/>
      <c r="G61" s="26">
        <f aca="true" t="shared" si="11" ref="G61:I62">SUM(G62)</f>
        <v>0</v>
      </c>
      <c r="H61" s="26">
        <f t="shared" si="11"/>
        <v>949.7</v>
      </c>
      <c r="I61" s="26">
        <f t="shared" si="11"/>
        <v>949.7</v>
      </c>
      <c r="J61" s="77">
        <f t="shared" si="1"/>
        <v>100</v>
      </c>
      <c r="K61" s="49"/>
      <c r="L61" s="50"/>
      <c r="M61" s="72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</row>
    <row r="62" spans="1:33" s="16" customFormat="1" ht="12.75">
      <c r="A62" s="23" t="s">
        <v>869</v>
      </c>
      <c r="B62" s="25" t="s">
        <v>113</v>
      </c>
      <c r="C62" s="23" t="s">
        <v>162</v>
      </c>
      <c r="D62" s="23" t="s">
        <v>646</v>
      </c>
      <c r="E62" s="23" t="s">
        <v>1360</v>
      </c>
      <c r="F62" s="23" t="s">
        <v>147</v>
      </c>
      <c r="G62" s="26">
        <f t="shared" si="11"/>
        <v>0</v>
      </c>
      <c r="H62" s="26">
        <f t="shared" si="11"/>
        <v>949.7</v>
      </c>
      <c r="I62" s="26">
        <f t="shared" si="11"/>
        <v>949.7</v>
      </c>
      <c r="J62" s="77">
        <f t="shared" si="1"/>
        <v>100</v>
      </c>
      <c r="K62" s="49"/>
      <c r="L62" s="50"/>
      <c r="M62" s="72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</row>
    <row r="63" spans="1:33" s="16" customFormat="1" ht="12.75">
      <c r="A63" s="23" t="s">
        <v>870</v>
      </c>
      <c r="B63" s="25" t="s">
        <v>143</v>
      </c>
      <c r="C63" s="23" t="s">
        <v>162</v>
      </c>
      <c r="D63" s="23" t="s">
        <v>646</v>
      </c>
      <c r="E63" s="23" t="s">
        <v>1360</v>
      </c>
      <c r="F63" s="23" t="s">
        <v>146</v>
      </c>
      <c r="G63" s="26">
        <v>0</v>
      </c>
      <c r="H63" s="26">
        <v>949.7</v>
      </c>
      <c r="I63" s="26">
        <v>949.7</v>
      </c>
      <c r="J63" s="77">
        <f t="shared" si="1"/>
        <v>100</v>
      </c>
      <c r="K63" s="49"/>
      <c r="L63" s="50"/>
      <c r="M63" s="72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</row>
    <row r="64" spans="1:33" s="16" customFormat="1" ht="102">
      <c r="A64" s="23" t="s">
        <v>871</v>
      </c>
      <c r="B64" s="39" t="s">
        <v>957</v>
      </c>
      <c r="C64" s="23" t="s">
        <v>162</v>
      </c>
      <c r="D64" s="23" t="s">
        <v>646</v>
      </c>
      <c r="E64" s="99" t="s">
        <v>958</v>
      </c>
      <c r="F64" s="23"/>
      <c r="G64" s="26">
        <f aca="true" t="shared" si="12" ref="G64:I65">SUM(G65)</f>
        <v>1055</v>
      </c>
      <c r="H64" s="26">
        <f t="shared" si="12"/>
        <v>1055</v>
      </c>
      <c r="I64" s="26">
        <f t="shared" si="12"/>
        <v>979.7</v>
      </c>
      <c r="J64" s="77">
        <f t="shared" si="1"/>
        <v>92.86255924170617</v>
      </c>
      <c r="K64" s="49"/>
      <c r="L64" s="50"/>
      <c r="M64" s="72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</row>
    <row r="65" spans="1:33" s="16" customFormat="1" ht="12.75">
      <c r="A65" s="23" t="s">
        <v>984</v>
      </c>
      <c r="B65" s="25" t="s">
        <v>113</v>
      </c>
      <c r="C65" s="23" t="s">
        <v>162</v>
      </c>
      <c r="D65" s="23" t="s">
        <v>646</v>
      </c>
      <c r="E65" s="112" t="s">
        <v>958</v>
      </c>
      <c r="F65" s="23" t="s">
        <v>147</v>
      </c>
      <c r="G65" s="26">
        <f t="shared" si="12"/>
        <v>1055</v>
      </c>
      <c r="H65" s="26">
        <f t="shared" si="12"/>
        <v>1055</v>
      </c>
      <c r="I65" s="26">
        <f t="shared" si="12"/>
        <v>979.7</v>
      </c>
      <c r="J65" s="77">
        <f t="shared" si="1"/>
        <v>92.86255924170617</v>
      </c>
      <c r="K65" s="49"/>
      <c r="L65" s="50"/>
      <c r="M65" s="72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</row>
    <row r="66" spans="1:33" s="16" customFormat="1" ht="12.75">
      <c r="A66" s="23" t="s">
        <v>985</v>
      </c>
      <c r="B66" s="25" t="s">
        <v>143</v>
      </c>
      <c r="C66" s="23" t="s">
        <v>162</v>
      </c>
      <c r="D66" s="23" t="s">
        <v>646</v>
      </c>
      <c r="E66" s="112" t="s">
        <v>958</v>
      </c>
      <c r="F66" s="23" t="s">
        <v>146</v>
      </c>
      <c r="G66" s="26">
        <v>1055</v>
      </c>
      <c r="H66" s="26">
        <v>1055</v>
      </c>
      <c r="I66" s="26">
        <v>979.7</v>
      </c>
      <c r="J66" s="77">
        <f t="shared" si="1"/>
        <v>92.86255924170617</v>
      </c>
      <c r="K66" s="49"/>
      <c r="L66" s="50"/>
      <c r="M66" s="72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>
        <v>1055</v>
      </c>
      <c r="AC66" s="75"/>
      <c r="AD66" s="75"/>
      <c r="AE66" s="75"/>
      <c r="AF66" s="75"/>
      <c r="AG66" s="75"/>
    </row>
    <row r="67" spans="1:33" s="16" customFormat="1" ht="102">
      <c r="A67" s="23" t="s">
        <v>986</v>
      </c>
      <c r="B67" s="39" t="s">
        <v>1191</v>
      </c>
      <c r="C67" s="23" t="s">
        <v>162</v>
      </c>
      <c r="D67" s="23" t="s">
        <v>646</v>
      </c>
      <c r="E67" s="116" t="s">
        <v>1192</v>
      </c>
      <c r="F67" s="23"/>
      <c r="G67" s="26">
        <f aca="true" t="shared" si="13" ref="G67:I68">SUM(G68)</f>
        <v>0</v>
      </c>
      <c r="H67" s="26">
        <f t="shared" si="13"/>
        <v>71.60000000000001</v>
      </c>
      <c r="I67" s="26">
        <f t="shared" si="13"/>
        <v>71.6</v>
      </c>
      <c r="J67" s="77">
        <f t="shared" si="1"/>
        <v>99.99999999999997</v>
      </c>
      <c r="K67" s="49"/>
      <c r="L67" s="50"/>
      <c r="M67" s="72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</row>
    <row r="68" spans="1:33" s="16" customFormat="1" ht="12.75">
      <c r="A68" s="23" t="s">
        <v>872</v>
      </c>
      <c r="B68" s="25" t="s">
        <v>113</v>
      </c>
      <c r="C68" s="23" t="s">
        <v>162</v>
      </c>
      <c r="D68" s="23" t="s">
        <v>646</v>
      </c>
      <c r="E68" s="116" t="s">
        <v>1192</v>
      </c>
      <c r="F68" s="23" t="s">
        <v>147</v>
      </c>
      <c r="G68" s="26">
        <f t="shared" si="13"/>
        <v>0</v>
      </c>
      <c r="H68" s="26">
        <f t="shared" si="13"/>
        <v>71.60000000000001</v>
      </c>
      <c r="I68" s="26">
        <f t="shared" si="13"/>
        <v>71.6</v>
      </c>
      <c r="J68" s="77">
        <f t="shared" si="1"/>
        <v>99.99999999999997</v>
      </c>
      <c r="K68" s="49"/>
      <c r="L68" s="50"/>
      <c r="M68" s="72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</row>
    <row r="69" spans="1:33" s="16" customFormat="1" ht="12.75">
      <c r="A69" s="23" t="s">
        <v>873</v>
      </c>
      <c r="B69" s="25" t="s">
        <v>143</v>
      </c>
      <c r="C69" s="23" t="s">
        <v>162</v>
      </c>
      <c r="D69" s="23" t="s">
        <v>646</v>
      </c>
      <c r="E69" s="116" t="s">
        <v>1192</v>
      </c>
      <c r="F69" s="23" t="s">
        <v>146</v>
      </c>
      <c r="G69" s="26">
        <v>0</v>
      </c>
      <c r="H69" s="26">
        <f>64.4+7.2</f>
        <v>71.60000000000001</v>
      </c>
      <c r="I69" s="26">
        <v>71.6</v>
      </c>
      <c r="J69" s="77">
        <f t="shared" si="1"/>
        <v>99.99999999999997</v>
      </c>
      <c r="K69" s="49"/>
      <c r="L69" s="50"/>
      <c r="M69" s="72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>
        <v>64.4</v>
      </c>
      <c r="AE69" s="75">
        <v>7.2</v>
      </c>
      <c r="AF69" s="75"/>
      <c r="AG69" s="75"/>
    </row>
    <row r="70" spans="1:33" s="16" customFormat="1" ht="12.75">
      <c r="A70" s="23" t="s">
        <v>660</v>
      </c>
      <c r="B70" s="37" t="s">
        <v>253</v>
      </c>
      <c r="C70" s="36" t="s">
        <v>162</v>
      </c>
      <c r="D70" s="36" t="s">
        <v>252</v>
      </c>
      <c r="E70" s="109"/>
      <c r="F70" s="36"/>
      <c r="G70" s="108">
        <f>SUM(G72)</f>
        <v>1370</v>
      </c>
      <c r="H70" s="108">
        <f>SUM(H72)</f>
        <v>1370</v>
      </c>
      <c r="I70" s="108">
        <f>SUM(I72)</f>
        <v>1350</v>
      </c>
      <c r="J70" s="77">
        <f t="shared" si="1"/>
        <v>98.54014598540147</v>
      </c>
      <c r="K70" s="49"/>
      <c r="L70" s="50"/>
      <c r="M70" s="72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</row>
    <row r="71" spans="1:33" s="16" customFormat="1" ht="51">
      <c r="A71" s="23" t="s">
        <v>987</v>
      </c>
      <c r="B71" s="24" t="s">
        <v>293</v>
      </c>
      <c r="C71" s="36" t="s">
        <v>162</v>
      </c>
      <c r="D71" s="36" t="s">
        <v>252</v>
      </c>
      <c r="E71" s="101" t="s">
        <v>363</v>
      </c>
      <c r="F71" s="36"/>
      <c r="G71" s="108">
        <f aca="true" t="shared" si="14" ref="G71:I72">SUM(G72)</f>
        <v>1370</v>
      </c>
      <c r="H71" s="108">
        <f t="shared" si="14"/>
        <v>1370</v>
      </c>
      <c r="I71" s="108">
        <f t="shared" si="14"/>
        <v>1350</v>
      </c>
      <c r="J71" s="77">
        <f t="shared" si="1"/>
        <v>98.54014598540147</v>
      </c>
      <c r="K71" s="49"/>
      <c r="L71" s="50"/>
      <c r="M71" s="72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</row>
    <row r="72" spans="1:33" s="16" customFormat="1" ht="12.75">
      <c r="A72" s="23" t="s">
        <v>988</v>
      </c>
      <c r="B72" s="22" t="s">
        <v>651</v>
      </c>
      <c r="C72" s="23" t="s">
        <v>162</v>
      </c>
      <c r="D72" s="23" t="s">
        <v>252</v>
      </c>
      <c r="E72" s="99" t="s">
        <v>372</v>
      </c>
      <c r="F72" s="23"/>
      <c r="G72" s="58">
        <f t="shared" si="14"/>
        <v>1370</v>
      </c>
      <c r="H72" s="58">
        <f t="shared" si="14"/>
        <v>1370</v>
      </c>
      <c r="I72" s="58">
        <f t="shared" si="14"/>
        <v>1350</v>
      </c>
      <c r="J72" s="77">
        <f t="shared" si="1"/>
        <v>98.54014598540147</v>
      </c>
      <c r="K72" s="49"/>
      <c r="L72" s="50"/>
      <c r="M72" s="72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</row>
    <row r="73" spans="1:33" s="16" customFormat="1" ht="89.25">
      <c r="A73" s="23" t="s">
        <v>989</v>
      </c>
      <c r="B73" s="25" t="s">
        <v>652</v>
      </c>
      <c r="C73" s="23" t="s">
        <v>162</v>
      </c>
      <c r="D73" s="23" t="s">
        <v>252</v>
      </c>
      <c r="E73" s="99" t="s">
        <v>731</v>
      </c>
      <c r="F73" s="23"/>
      <c r="G73" s="58">
        <f aca="true" t="shared" si="15" ref="G73:I74">SUM(G74)</f>
        <v>1370</v>
      </c>
      <c r="H73" s="58">
        <f t="shared" si="15"/>
        <v>1370</v>
      </c>
      <c r="I73" s="58">
        <f t="shared" si="15"/>
        <v>1350</v>
      </c>
      <c r="J73" s="77">
        <f t="shared" si="1"/>
        <v>98.54014598540147</v>
      </c>
      <c r="K73" s="49"/>
      <c r="L73" s="50"/>
      <c r="M73" s="72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</row>
    <row r="74" spans="1:33" s="16" customFormat="1" ht="12.75">
      <c r="A74" s="23" t="s">
        <v>990</v>
      </c>
      <c r="B74" s="25" t="s">
        <v>113</v>
      </c>
      <c r="C74" s="23" t="s">
        <v>162</v>
      </c>
      <c r="D74" s="23" t="s">
        <v>252</v>
      </c>
      <c r="E74" s="99" t="s">
        <v>731</v>
      </c>
      <c r="F74" s="23" t="s">
        <v>147</v>
      </c>
      <c r="G74" s="58">
        <f t="shared" si="15"/>
        <v>1370</v>
      </c>
      <c r="H74" s="58">
        <f t="shared" si="15"/>
        <v>1370</v>
      </c>
      <c r="I74" s="58">
        <f t="shared" si="15"/>
        <v>1350</v>
      </c>
      <c r="J74" s="77">
        <f aca="true" t="shared" si="16" ref="J74:J130">I74/H74*100</f>
        <v>98.54014598540147</v>
      </c>
      <c r="K74" s="49"/>
      <c r="L74" s="50"/>
      <c r="M74" s="72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</row>
    <row r="75" spans="1:33" s="16" customFormat="1" ht="12.75">
      <c r="A75" s="23" t="s">
        <v>991</v>
      </c>
      <c r="B75" s="25" t="s">
        <v>143</v>
      </c>
      <c r="C75" s="23" t="s">
        <v>162</v>
      </c>
      <c r="D75" s="23" t="s">
        <v>252</v>
      </c>
      <c r="E75" s="99" t="s">
        <v>731</v>
      </c>
      <c r="F75" s="23" t="s">
        <v>146</v>
      </c>
      <c r="G75" s="58">
        <v>1370</v>
      </c>
      <c r="H75" s="58">
        <v>1370</v>
      </c>
      <c r="I75" s="58">
        <v>1350</v>
      </c>
      <c r="J75" s="77">
        <f t="shared" si="16"/>
        <v>98.54014598540147</v>
      </c>
      <c r="K75" s="49"/>
      <c r="L75" s="50"/>
      <c r="M75" s="72"/>
      <c r="N75" s="75">
        <v>148</v>
      </c>
      <c r="O75" s="75"/>
      <c r="P75" s="75"/>
      <c r="Q75" s="75"/>
      <c r="R75" s="75"/>
      <c r="S75" s="75"/>
      <c r="T75" s="75"/>
      <c r="U75" s="75">
        <v>1136.9</v>
      </c>
      <c r="V75" s="75"/>
      <c r="W75" s="75"/>
      <c r="X75" s="75"/>
      <c r="Y75" s="75"/>
      <c r="Z75" s="75">
        <v>1136.9</v>
      </c>
      <c r="AA75" s="75"/>
      <c r="AB75" s="75">
        <v>1370</v>
      </c>
      <c r="AC75" s="75"/>
      <c r="AD75" s="75"/>
      <c r="AE75" s="75"/>
      <c r="AF75" s="75"/>
      <c r="AG75" s="75"/>
    </row>
    <row r="76" spans="1:33" s="16" customFormat="1" ht="12.75">
      <c r="A76" s="23" t="s">
        <v>599</v>
      </c>
      <c r="B76" s="30" t="s">
        <v>1186</v>
      </c>
      <c r="C76" s="31" t="s">
        <v>162</v>
      </c>
      <c r="D76" s="31" t="s">
        <v>1187</v>
      </c>
      <c r="E76" s="31"/>
      <c r="F76" s="31"/>
      <c r="G76" s="79">
        <f aca="true" t="shared" si="17" ref="G76:I81">G77</f>
        <v>0</v>
      </c>
      <c r="H76" s="79">
        <f t="shared" si="17"/>
        <v>152.1</v>
      </c>
      <c r="I76" s="79">
        <f t="shared" si="17"/>
        <v>152.1</v>
      </c>
      <c r="J76" s="77">
        <f t="shared" si="16"/>
        <v>100</v>
      </c>
      <c r="K76" s="49"/>
      <c r="L76" s="50"/>
      <c r="M76" s="72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</row>
    <row r="77" spans="1:33" s="16" customFormat="1" ht="12.75">
      <c r="A77" s="23" t="s">
        <v>661</v>
      </c>
      <c r="B77" s="38" t="s">
        <v>1188</v>
      </c>
      <c r="C77" s="23" t="s">
        <v>162</v>
      </c>
      <c r="D77" s="23" t="s">
        <v>83</v>
      </c>
      <c r="E77" s="23"/>
      <c r="F77" s="23"/>
      <c r="G77" s="58">
        <f t="shared" si="17"/>
        <v>0</v>
      </c>
      <c r="H77" s="58">
        <f t="shared" si="17"/>
        <v>152.1</v>
      </c>
      <c r="I77" s="58">
        <f t="shared" si="17"/>
        <v>152.1</v>
      </c>
      <c r="J77" s="77">
        <f t="shared" si="16"/>
        <v>100</v>
      </c>
      <c r="K77" s="49"/>
      <c r="L77" s="50"/>
      <c r="M77" s="72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</row>
    <row r="78" spans="1:33" s="16" customFormat="1" ht="25.5">
      <c r="A78" s="23" t="s">
        <v>662</v>
      </c>
      <c r="B78" s="22" t="s">
        <v>218</v>
      </c>
      <c r="C78" s="23" t="s">
        <v>162</v>
      </c>
      <c r="D78" s="23" t="s">
        <v>83</v>
      </c>
      <c r="E78" s="23" t="s">
        <v>312</v>
      </c>
      <c r="F78" s="23"/>
      <c r="G78" s="58">
        <f aca="true" t="shared" si="18" ref="G78:H81">G79</f>
        <v>0</v>
      </c>
      <c r="H78" s="58">
        <f t="shared" si="18"/>
        <v>152.1</v>
      </c>
      <c r="I78" s="58">
        <f t="shared" si="17"/>
        <v>152.1</v>
      </c>
      <c r="J78" s="77">
        <f t="shared" si="16"/>
        <v>100</v>
      </c>
      <c r="K78" s="49"/>
      <c r="L78" s="50"/>
      <c r="M78" s="72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</row>
    <row r="79" spans="1:33" s="16" customFormat="1" ht="25.5">
      <c r="A79" s="23" t="s">
        <v>663</v>
      </c>
      <c r="B79" s="24" t="s">
        <v>235</v>
      </c>
      <c r="C79" s="23" t="s">
        <v>162</v>
      </c>
      <c r="D79" s="23" t="s">
        <v>83</v>
      </c>
      <c r="E79" s="99" t="s">
        <v>313</v>
      </c>
      <c r="F79" s="23"/>
      <c r="G79" s="54">
        <f t="shared" si="18"/>
        <v>0</v>
      </c>
      <c r="H79" s="54">
        <f t="shared" si="18"/>
        <v>152.1</v>
      </c>
      <c r="I79" s="54">
        <f t="shared" si="17"/>
        <v>152.1</v>
      </c>
      <c r="J79" s="77">
        <f t="shared" si="16"/>
        <v>100</v>
      </c>
      <c r="K79" s="49"/>
      <c r="L79" s="50"/>
      <c r="M79" s="72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</row>
    <row r="80" spans="1:33" s="16" customFormat="1" ht="63.75">
      <c r="A80" s="23" t="s">
        <v>664</v>
      </c>
      <c r="B80" s="22" t="s">
        <v>1189</v>
      </c>
      <c r="C80" s="23" t="s">
        <v>162</v>
      </c>
      <c r="D80" s="23" t="s">
        <v>83</v>
      </c>
      <c r="E80" s="99" t="s">
        <v>1190</v>
      </c>
      <c r="F80" s="23"/>
      <c r="G80" s="54">
        <f t="shared" si="18"/>
        <v>0</v>
      </c>
      <c r="H80" s="54">
        <f t="shared" si="18"/>
        <v>152.1</v>
      </c>
      <c r="I80" s="54">
        <f t="shared" si="17"/>
        <v>152.1</v>
      </c>
      <c r="J80" s="77">
        <f t="shared" si="16"/>
        <v>100</v>
      </c>
      <c r="K80" s="49"/>
      <c r="L80" s="50"/>
      <c r="M80" s="72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</row>
    <row r="81" spans="1:33" s="16" customFormat="1" ht="12.75">
      <c r="A81" s="23" t="s">
        <v>992</v>
      </c>
      <c r="B81" s="25" t="s">
        <v>113</v>
      </c>
      <c r="C81" s="23" t="s">
        <v>162</v>
      </c>
      <c r="D81" s="23" t="s">
        <v>83</v>
      </c>
      <c r="E81" s="99" t="s">
        <v>1190</v>
      </c>
      <c r="F81" s="23" t="s">
        <v>147</v>
      </c>
      <c r="G81" s="54">
        <f t="shared" si="18"/>
        <v>0</v>
      </c>
      <c r="H81" s="54">
        <f t="shared" si="18"/>
        <v>152.1</v>
      </c>
      <c r="I81" s="54">
        <f t="shared" si="17"/>
        <v>152.1</v>
      </c>
      <c r="J81" s="77">
        <f t="shared" si="16"/>
        <v>100</v>
      </c>
      <c r="K81" s="49"/>
      <c r="L81" s="50"/>
      <c r="M81" s="72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</row>
    <row r="82" spans="1:33" s="16" customFormat="1" ht="12.75">
      <c r="A82" s="23" t="s">
        <v>993</v>
      </c>
      <c r="B82" s="25" t="s">
        <v>143</v>
      </c>
      <c r="C82" s="23" t="s">
        <v>162</v>
      </c>
      <c r="D82" s="23" t="s">
        <v>83</v>
      </c>
      <c r="E82" s="99" t="s">
        <v>1190</v>
      </c>
      <c r="F82" s="23" t="s">
        <v>146</v>
      </c>
      <c r="G82" s="58">
        <v>0</v>
      </c>
      <c r="H82" s="58">
        <v>152.1</v>
      </c>
      <c r="I82" s="58">
        <v>152.1</v>
      </c>
      <c r="J82" s="77">
        <f t="shared" si="16"/>
        <v>100</v>
      </c>
      <c r="K82" s="49"/>
      <c r="L82" s="50"/>
      <c r="M82" s="72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>
        <v>152.1</v>
      </c>
      <c r="AE82" s="75"/>
      <c r="AF82" s="75"/>
      <c r="AG82" s="75"/>
    </row>
    <row r="83" spans="1:33" s="3" customFormat="1" ht="35.25" customHeight="1">
      <c r="A83" s="23" t="s">
        <v>1488</v>
      </c>
      <c r="B83" s="34" t="s">
        <v>169</v>
      </c>
      <c r="C83" s="31" t="s">
        <v>162</v>
      </c>
      <c r="D83" s="31" t="s">
        <v>166</v>
      </c>
      <c r="E83" s="31"/>
      <c r="F83" s="31"/>
      <c r="G83" s="77">
        <f>G84+G93+G102</f>
        <v>63936.9</v>
      </c>
      <c r="H83" s="77">
        <f>H84+H93+H102</f>
        <v>69400.8</v>
      </c>
      <c r="I83" s="77">
        <f>I84+I93+I102</f>
        <v>66649.7</v>
      </c>
      <c r="J83" s="77">
        <f t="shared" si="16"/>
        <v>96.035924657929</v>
      </c>
      <c r="K83" s="49"/>
      <c r="L83" s="50"/>
      <c r="M83" s="72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</row>
    <row r="84" spans="1:33" s="3" customFormat="1" ht="30.75" customHeight="1">
      <c r="A84" s="23" t="s">
        <v>1489</v>
      </c>
      <c r="B84" s="35" t="s">
        <v>168</v>
      </c>
      <c r="C84" s="36" t="s">
        <v>162</v>
      </c>
      <c r="D84" s="36" t="s">
        <v>167</v>
      </c>
      <c r="E84" s="36"/>
      <c r="F84" s="36"/>
      <c r="G84" s="78">
        <f aca="true" t="shared" si="19" ref="G84:I85">SUM(G85)</f>
        <v>60366.9</v>
      </c>
      <c r="H84" s="78">
        <f t="shared" si="19"/>
        <v>60366.9</v>
      </c>
      <c r="I84" s="78">
        <f t="shared" si="19"/>
        <v>57615.8</v>
      </c>
      <c r="J84" s="77">
        <f t="shared" si="16"/>
        <v>95.44270121540116</v>
      </c>
      <c r="K84" s="49"/>
      <c r="L84" s="50"/>
      <c r="M84" s="72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</row>
    <row r="85" spans="1:33" s="5" customFormat="1" ht="25.5">
      <c r="A85" s="23" t="s">
        <v>1490</v>
      </c>
      <c r="B85" s="22" t="s">
        <v>410</v>
      </c>
      <c r="C85" s="23" t="s">
        <v>162</v>
      </c>
      <c r="D85" s="23" t="s">
        <v>167</v>
      </c>
      <c r="E85" s="23" t="s">
        <v>309</v>
      </c>
      <c r="F85" s="23"/>
      <c r="G85" s="54">
        <f t="shared" si="19"/>
        <v>60366.9</v>
      </c>
      <c r="H85" s="54">
        <f t="shared" si="19"/>
        <v>60366.9</v>
      </c>
      <c r="I85" s="54">
        <f t="shared" si="19"/>
        <v>57615.8</v>
      </c>
      <c r="J85" s="77">
        <f t="shared" si="16"/>
        <v>95.44270121540116</v>
      </c>
      <c r="K85" s="47"/>
      <c r="L85" s="48"/>
      <c r="M85" s="86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</row>
    <row r="86" spans="1:33" s="3" customFormat="1" ht="51">
      <c r="A86" s="23" t="s">
        <v>1491</v>
      </c>
      <c r="B86" s="22" t="s">
        <v>81</v>
      </c>
      <c r="C86" s="23" t="s">
        <v>162</v>
      </c>
      <c r="D86" s="23" t="s">
        <v>167</v>
      </c>
      <c r="E86" s="23" t="s">
        <v>314</v>
      </c>
      <c r="F86" s="23"/>
      <c r="G86" s="54">
        <f>G87+G90</f>
        <v>60366.9</v>
      </c>
      <c r="H86" s="54">
        <f>H87+H90</f>
        <v>60366.9</v>
      </c>
      <c r="I86" s="54">
        <f>I87+I90</f>
        <v>57615.8</v>
      </c>
      <c r="J86" s="77">
        <f t="shared" si="16"/>
        <v>95.44270121540116</v>
      </c>
      <c r="K86" s="49"/>
      <c r="L86" s="50"/>
      <c r="M86" s="72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</row>
    <row r="87" spans="1:33" s="3" customFormat="1" ht="89.25">
      <c r="A87" s="23" t="s">
        <v>1492</v>
      </c>
      <c r="B87" s="22" t="s">
        <v>650</v>
      </c>
      <c r="C87" s="23" t="s">
        <v>162</v>
      </c>
      <c r="D87" s="23" t="s">
        <v>167</v>
      </c>
      <c r="E87" s="23" t="s">
        <v>732</v>
      </c>
      <c r="F87" s="23"/>
      <c r="G87" s="54">
        <f aca="true" t="shared" si="20" ref="G87:I88">SUM(G88)</f>
        <v>40966.9</v>
      </c>
      <c r="H87" s="54">
        <f t="shared" si="20"/>
        <v>40966.9</v>
      </c>
      <c r="I87" s="54">
        <f t="shared" si="20"/>
        <v>38215.8</v>
      </c>
      <c r="J87" s="77">
        <f t="shared" si="16"/>
        <v>93.28457852559018</v>
      </c>
      <c r="K87" s="49"/>
      <c r="L87" s="50">
        <v>24169.6</v>
      </c>
      <c r="M87" s="72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</row>
    <row r="88" spans="1:33" s="3" customFormat="1" ht="12.75">
      <c r="A88" s="23" t="s">
        <v>1493</v>
      </c>
      <c r="B88" s="25" t="s">
        <v>113</v>
      </c>
      <c r="C88" s="23" t="s">
        <v>162</v>
      </c>
      <c r="D88" s="23" t="s">
        <v>167</v>
      </c>
      <c r="E88" s="23" t="s">
        <v>732</v>
      </c>
      <c r="F88" s="23" t="s">
        <v>147</v>
      </c>
      <c r="G88" s="54">
        <f t="shared" si="20"/>
        <v>40966.9</v>
      </c>
      <c r="H88" s="54">
        <f t="shared" si="20"/>
        <v>40966.9</v>
      </c>
      <c r="I88" s="54">
        <f t="shared" si="20"/>
        <v>38215.8</v>
      </c>
      <c r="J88" s="77">
        <f t="shared" si="16"/>
        <v>93.28457852559018</v>
      </c>
      <c r="K88" s="49"/>
      <c r="L88" s="50"/>
      <c r="M88" s="72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</row>
    <row r="89" spans="1:33" s="3" customFormat="1" ht="20.25" customHeight="1">
      <c r="A89" s="23" t="s">
        <v>1494</v>
      </c>
      <c r="B89" s="25" t="s">
        <v>170</v>
      </c>
      <c r="C89" s="23" t="s">
        <v>162</v>
      </c>
      <c r="D89" s="23" t="s">
        <v>167</v>
      </c>
      <c r="E89" s="23" t="s">
        <v>732</v>
      </c>
      <c r="F89" s="23" t="s">
        <v>171</v>
      </c>
      <c r="G89" s="54">
        <v>40966.9</v>
      </c>
      <c r="H89" s="54">
        <v>40966.9</v>
      </c>
      <c r="I89" s="54">
        <v>38215.8</v>
      </c>
      <c r="J89" s="77">
        <f t="shared" si="16"/>
        <v>93.28457852559018</v>
      </c>
      <c r="K89" s="54"/>
      <c r="L89" s="50"/>
      <c r="M89" s="72"/>
      <c r="N89" s="75"/>
      <c r="O89" s="75"/>
      <c r="P89" s="75"/>
      <c r="Q89" s="75"/>
      <c r="R89" s="75"/>
      <c r="S89" s="75"/>
      <c r="T89" s="75"/>
      <c r="U89" s="75">
        <v>36907</v>
      </c>
      <c r="V89" s="75"/>
      <c r="W89" s="75"/>
      <c r="X89" s="75"/>
      <c r="Y89" s="75"/>
      <c r="Z89" s="75">
        <v>36442.1</v>
      </c>
      <c r="AA89" s="75"/>
      <c r="AB89" s="75">
        <v>40966.9</v>
      </c>
      <c r="AC89" s="75"/>
      <c r="AD89" s="75"/>
      <c r="AE89" s="75"/>
      <c r="AF89" s="75"/>
      <c r="AG89" s="75"/>
    </row>
    <row r="90" spans="1:33" s="3" customFormat="1" ht="114.75">
      <c r="A90" s="23" t="s">
        <v>17</v>
      </c>
      <c r="B90" s="25" t="s">
        <v>636</v>
      </c>
      <c r="C90" s="23" t="s">
        <v>162</v>
      </c>
      <c r="D90" s="23" t="s">
        <v>167</v>
      </c>
      <c r="E90" s="23" t="s">
        <v>315</v>
      </c>
      <c r="F90" s="23"/>
      <c r="G90" s="54">
        <f aca="true" t="shared" si="21" ref="G90:I91">SUM(G91)</f>
        <v>19400</v>
      </c>
      <c r="H90" s="54">
        <f t="shared" si="21"/>
        <v>19400</v>
      </c>
      <c r="I90" s="54">
        <f t="shared" si="21"/>
        <v>19400</v>
      </c>
      <c r="J90" s="77">
        <f t="shared" si="16"/>
        <v>100</v>
      </c>
      <c r="K90" s="49">
        <v>14881</v>
      </c>
      <c r="L90" s="50"/>
      <c r="M90" s="72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>
        <v>19400</v>
      </c>
      <c r="AD90" s="75"/>
      <c r="AE90" s="75"/>
      <c r="AF90" s="75"/>
      <c r="AG90" s="75"/>
    </row>
    <row r="91" spans="1:33" s="3" customFormat="1" ht="12.75">
      <c r="A91" s="23" t="s">
        <v>18</v>
      </c>
      <c r="B91" s="25" t="s">
        <v>113</v>
      </c>
      <c r="C91" s="23" t="s">
        <v>162</v>
      </c>
      <c r="D91" s="23" t="s">
        <v>167</v>
      </c>
      <c r="E91" s="23" t="s">
        <v>315</v>
      </c>
      <c r="F91" s="23" t="s">
        <v>147</v>
      </c>
      <c r="G91" s="54">
        <f t="shared" si="21"/>
        <v>19400</v>
      </c>
      <c r="H91" s="54">
        <f t="shared" si="21"/>
        <v>19400</v>
      </c>
      <c r="I91" s="54">
        <f t="shared" si="21"/>
        <v>19400</v>
      </c>
      <c r="J91" s="77">
        <f t="shared" si="16"/>
        <v>100</v>
      </c>
      <c r="K91" s="49"/>
      <c r="L91" s="50"/>
      <c r="M91" s="72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</row>
    <row r="92" spans="1:33" s="3" customFormat="1" ht="12.75">
      <c r="A92" s="23" t="s">
        <v>115</v>
      </c>
      <c r="B92" s="25" t="s">
        <v>170</v>
      </c>
      <c r="C92" s="23" t="s">
        <v>162</v>
      </c>
      <c r="D92" s="23" t="s">
        <v>167</v>
      </c>
      <c r="E92" s="23" t="s">
        <v>315</v>
      </c>
      <c r="F92" s="23" t="s">
        <v>171</v>
      </c>
      <c r="G92" s="54">
        <v>19400</v>
      </c>
      <c r="H92" s="54">
        <v>19400</v>
      </c>
      <c r="I92" s="54">
        <v>19400</v>
      </c>
      <c r="J92" s="77">
        <f t="shared" si="16"/>
        <v>100</v>
      </c>
      <c r="K92" s="49"/>
      <c r="L92" s="50"/>
      <c r="M92" s="72"/>
      <c r="N92" s="75"/>
      <c r="O92" s="75"/>
      <c r="P92" s="75"/>
      <c r="Q92" s="75"/>
      <c r="R92" s="75"/>
      <c r="S92" s="75"/>
      <c r="T92" s="75">
        <v>18404.2</v>
      </c>
      <c r="U92" s="75"/>
      <c r="V92" s="75"/>
      <c r="W92" s="75"/>
      <c r="X92" s="75"/>
      <c r="Y92" s="75"/>
      <c r="Z92" s="75"/>
      <c r="AA92" s="75">
        <v>18373.9</v>
      </c>
      <c r="AB92" s="75"/>
      <c r="AC92" s="75"/>
      <c r="AD92" s="75"/>
      <c r="AE92" s="75"/>
      <c r="AF92" s="75"/>
      <c r="AG92" s="75"/>
    </row>
    <row r="93" spans="1:33" s="3" customFormat="1" ht="15">
      <c r="A93" s="23" t="s">
        <v>116</v>
      </c>
      <c r="B93" s="81" t="s">
        <v>576</v>
      </c>
      <c r="C93" s="36" t="s">
        <v>162</v>
      </c>
      <c r="D93" s="36" t="s">
        <v>574</v>
      </c>
      <c r="E93" s="36"/>
      <c r="F93" s="36"/>
      <c r="G93" s="78">
        <f aca="true" t="shared" si="22" ref="G93:I94">SUM(G94)</f>
        <v>3570</v>
      </c>
      <c r="H93" s="78">
        <f t="shared" si="22"/>
        <v>4608.7</v>
      </c>
      <c r="I93" s="78">
        <f t="shared" si="22"/>
        <v>4608.7</v>
      </c>
      <c r="J93" s="77">
        <f t="shared" si="16"/>
        <v>100</v>
      </c>
      <c r="K93" s="49"/>
      <c r="L93" s="50"/>
      <c r="M93" s="72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</row>
    <row r="94" spans="1:33" s="3" customFormat="1" ht="25.5">
      <c r="A94" s="23" t="s">
        <v>117</v>
      </c>
      <c r="B94" s="22" t="s">
        <v>410</v>
      </c>
      <c r="C94" s="23" t="s">
        <v>162</v>
      </c>
      <c r="D94" s="23" t="s">
        <v>574</v>
      </c>
      <c r="E94" s="23" t="s">
        <v>309</v>
      </c>
      <c r="F94" s="23"/>
      <c r="G94" s="54">
        <f t="shared" si="22"/>
        <v>3570</v>
      </c>
      <c r="H94" s="54">
        <f t="shared" si="22"/>
        <v>4608.7</v>
      </c>
      <c r="I94" s="54">
        <f t="shared" si="22"/>
        <v>4608.7</v>
      </c>
      <c r="J94" s="77">
        <f t="shared" si="16"/>
        <v>100</v>
      </c>
      <c r="K94" s="49"/>
      <c r="L94" s="50"/>
      <c r="M94" s="72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</row>
    <row r="95" spans="1:33" s="3" customFormat="1" ht="51">
      <c r="A95" s="23" t="s">
        <v>118</v>
      </c>
      <c r="B95" s="22" t="s">
        <v>81</v>
      </c>
      <c r="C95" s="23" t="s">
        <v>162</v>
      </c>
      <c r="D95" s="23" t="s">
        <v>574</v>
      </c>
      <c r="E95" s="23" t="s">
        <v>314</v>
      </c>
      <c r="F95" s="23"/>
      <c r="G95" s="54">
        <f>G96+G99</f>
        <v>3570</v>
      </c>
      <c r="H95" s="54">
        <f>H96+H99</f>
        <v>4608.7</v>
      </c>
      <c r="I95" s="54">
        <f>I96+I99</f>
        <v>4608.7</v>
      </c>
      <c r="J95" s="77">
        <f t="shared" si="16"/>
        <v>100</v>
      </c>
      <c r="K95" s="49"/>
      <c r="L95" s="50"/>
      <c r="M95" s="72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</row>
    <row r="96" spans="1:33" s="3" customFormat="1" ht="102">
      <c r="A96" s="23" t="s">
        <v>119</v>
      </c>
      <c r="B96" s="22" t="s">
        <v>945</v>
      </c>
      <c r="C96" s="23" t="s">
        <v>162</v>
      </c>
      <c r="D96" s="23" t="s">
        <v>574</v>
      </c>
      <c r="E96" s="23" t="s">
        <v>575</v>
      </c>
      <c r="F96" s="23"/>
      <c r="G96" s="54">
        <f aca="true" t="shared" si="23" ref="G96:I100">SUM(G97)</f>
        <v>3570</v>
      </c>
      <c r="H96" s="54">
        <f t="shared" si="23"/>
        <v>3570</v>
      </c>
      <c r="I96" s="54">
        <f t="shared" si="23"/>
        <v>3570</v>
      </c>
      <c r="J96" s="77">
        <f t="shared" si="16"/>
        <v>100</v>
      </c>
      <c r="K96" s="49"/>
      <c r="L96" s="50"/>
      <c r="M96" s="72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</row>
    <row r="97" spans="1:33" s="3" customFormat="1" ht="12.75">
      <c r="A97" s="23" t="s">
        <v>120</v>
      </c>
      <c r="B97" s="25" t="s">
        <v>113</v>
      </c>
      <c r="C97" s="23" t="s">
        <v>162</v>
      </c>
      <c r="D97" s="23" t="s">
        <v>574</v>
      </c>
      <c r="E97" s="23" t="s">
        <v>575</v>
      </c>
      <c r="F97" s="23" t="s">
        <v>147</v>
      </c>
      <c r="G97" s="54">
        <f t="shared" si="23"/>
        <v>3570</v>
      </c>
      <c r="H97" s="54">
        <f t="shared" si="23"/>
        <v>3570</v>
      </c>
      <c r="I97" s="54">
        <f t="shared" si="23"/>
        <v>3570</v>
      </c>
      <c r="J97" s="77">
        <f t="shared" si="16"/>
        <v>100</v>
      </c>
      <c r="K97" s="49"/>
      <c r="L97" s="50"/>
      <c r="M97" s="72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</row>
    <row r="98" spans="1:33" s="3" customFormat="1" ht="12.75">
      <c r="A98" s="23" t="s">
        <v>19</v>
      </c>
      <c r="B98" s="25" t="s">
        <v>170</v>
      </c>
      <c r="C98" s="23" t="s">
        <v>162</v>
      </c>
      <c r="D98" s="23" t="s">
        <v>574</v>
      </c>
      <c r="E98" s="23" t="s">
        <v>575</v>
      </c>
      <c r="F98" s="23" t="s">
        <v>171</v>
      </c>
      <c r="G98" s="54">
        <v>3570</v>
      </c>
      <c r="H98" s="54">
        <v>3570</v>
      </c>
      <c r="I98" s="54">
        <v>3570</v>
      </c>
      <c r="J98" s="77">
        <f t="shared" si="16"/>
        <v>100</v>
      </c>
      <c r="K98" s="49"/>
      <c r="L98" s="50"/>
      <c r="M98" s="72"/>
      <c r="N98" s="75"/>
      <c r="O98" s="75"/>
      <c r="P98" s="75"/>
      <c r="Q98" s="75"/>
      <c r="R98" s="75"/>
      <c r="S98" s="75"/>
      <c r="T98" s="75">
        <v>0</v>
      </c>
      <c r="U98" s="75">
        <v>1940</v>
      </c>
      <c r="V98" s="75"/>
      <c r="W98" s="75"/>
      <c r="X98" s="75"/>
      <c r="Y98" s="75"/>
      <c r="Z98" s="75">
        <v>1940</v>
      </c>
      <c r="AA98" s="75"/>
      <c r="AB98" s="75">
        <v>3570</v>
      </c>
      <c r="AC98" s="75"/>
      <c r="AD98" s="75"/>
      <c r="AE98" s="75"/>
      <c r="AF98" s="75"/>
      <c r="AG98" s="75"/>
    </row>
    <row r="99" spans="1:33" s="3" customFormat="1" ht="114.75">
      <c r="A99" s="23" t="s">
        <v>421</v>
      </c>
      <c r="B99" s="22" t="s">
        <v>1346</v>
      </c>
      <c r="C99" s="23" t="s">
        <v>162</v>
      </c>
      <c r="D99" s="23" t="s">
        <v>574</v>
      </c>
      <c r="E99" s="23" t="s">
        <v>1345</v>
      </c>
      <c r="F99" s="23"/>
      <c r="G99" s="54">
        <f t="shared" si="23"/>
        <v>0</v>
      </c>
      <c r="H99" s="54">
        <f t="shared" si="23"/>
        <v>1038.7</v>
      </c>
      <c r="I99" s="54">
        <f t="shared" si="23"/>
        <v>1038.7</v>
      </c>
      <c r="J99" s="77">
        <f t="shared" si="16"/>
        <v>100</v>
      </c>
      <c r="K99" s="49"/>
      <c r="L99" s="50"/>
      <c r="M99" s="72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</row>
    <row r="100" spans="1:33" s="3" customFormat="1" ht="12.75">
      <c r="A100" s="23" t="s">
        <v>422</v>
      </c>
      <c r="B100" s="25" t="s">
        <v>113</v>
      </c>
      <c r="C100" s="23" t="s">
        <v>162</v>
      </c>
      <c r="D100" s="23" t="s">
        <v>574</v>
      </c>
      <c r="E100" s="23" t="s">
        <v>1345</v>
      </c>
      <c r="F100" s="23" t="s">
        <v>147</v>
      </c>
      <c r="G100" s="54">
        <f t="shared" si="23"/>
        <v>0</v>
      </c>
      <c r="H100" s="54">
        <f t="shared" si="23"/>
        <v>1038.7</v>
      </c>
      <c r="I100" s="54">
        <f t="shared" si="23"/>
        <v>1038.7</v>
      </c>
      <c r="J100" s="77">
        <f t="shared" si="16"/>
        <v>100</v>
      </c>
      <c r="K100" s="49"/>
      <c r="L100" s="50"/>
      <c r="M100" s="72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</row>
    <row r="101" spans="1:33" s="3" customFormat="1" ht="12.75">
      <c r="A101" s="23" t="s">
        <v>20</v>
      </c>
      <c r="B101" s="25" t="s">
        <v>170</v>
      </c>
      <c r="C101" s="23" t="s">
        <v>162</v>
      </c>
      <c r="D101" s="23" t="s">
        <v>574</v>
      </c>
      <c r="E101" s="23" t="s">
        <v>1345</v>
      </c>
      <c r="F101" s="23" t="s">
        <v>171</v>
      </c>
      <c r="G101" s="54">
        <v>0</v>
      </c>
      <c r="H101" s="54">
        <v>1038.7</v>
      </c>
      <c r="I101" s="54">
        <v>1038.7</v>
      </c>
      <c r="J101" s="77">
        <f t="shared" si="16"/>
        <v>100</v>
      </c>
      <c r="K101" s="49"/>
      <c r="L101" s="50"/>
      <c r="M101" s="72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</row>
    <row r="102" spans="1:33" s="3" customFormat="1" ht="30">
      <c r="A102" s="23" t="s">
        <v>21</v>
      </c>
      <c r="B102" s="81" t="s">
        <v>1367</v>
      </c>
      <c r="C102" s="36" t="s">
        <v>162</v>
      </c>
      <c r="D102" s="36" t="s">
        <v>813</v>
      </c>
      <c r="E102" s="36"/>
      <c r="F102" s="36"/>
      <c r="G102" s="78">
        <f aca="true" t="shared" si="24" ref="G102:I103">SUM(G103)</f>
        <v>0</v>
      </c>
      <c r="H102" s="78">
        <f t="shared" si="24"/>
        <v>4425.2</v>
      </c>
      <c r="I102" s="78">
        <f t="shared" si="24"/>
        <v>4425.2</v>
      </c>
      <c r="J102" s="77">
        <f t="shared" si="16"/>
        <v>100</v>
      </c>
      <c r="K102" s="49"/>
      <c r="L102" s="50"/>
      <c r="M102" s="72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</row>
    <row r="103" spans="1:33" s="3" customFormat="1" ht="25.5">
      <c r="A103" s="23" t="s">
        <v>22</v>
      </c>
      <c r="B103" s="22" t="s">
        <v>410</v>
      </c>
      <c r="C103" s="23" t="s">
        <v>162</v>
      </c>
      <c r="D103" s="23" t="s">
        <v>813</v>
      </c>
      <c r="E103" s="23" t="s">
        <v>309</v>
      </c>
      <c r="F103" s="23"/>
      <c r="G103" s="54">
        <f t="shared" si="24"/>
        <v>0</v>
      </c>
      <c r="H103" s="54">
        <f t="shared" si="24"/>
        <v>4425.2</v>
      </c>
      <c r="I103" s="54">
        <f t="shared" si="24"/>
        <v>4425.2</v>
      </c>
      <c r="J103" s="77">
        <f t="shared" si="16"/>
        <v>100</v>
      </c>
      <c r="K103" s="49"/>
      <c r="L103" s="50"/>
      <c r="M103" s="72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</row>
    <row r="104" spans="1:33" s="3" customFormat="1" ht="51">
      <c r="A104" s="23" t="s">
        <v>23</v>
      </c>
      <c r="B104" s="22" t="s">
        <v>81</v>
      </c>
      <c r="C104" s="23" t="s">
        <v>162</v>
      </c>
      <c r="D104" s="23" t="s">
        <v>813</v>
      </c>
      <c r="E104" s="23" t="s">
        <v>314</v>
      </c>
      <c r="F104" s="23"/>
      <c r="G104" s="54">
        <f>SUM(G108+G105)</f>
        <v>0</v>
      </c>
      <c r="H104" s="54">
        <f>SUM(H108+H105)</f>
        <v>4425.2</v>
      </c>
      <c r="I104" s="54">
        <f>SUM(I108+I105)</f>
        <v>4425.2</v>
      </c>
      <c r="J104" s="77">
        <f t="shared" si="16"/>
        <v>100</v>
      </c>
      <c r="K104" s="49"/>
      <c r="L104" s="50"/>
      <c r="M104" s="72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</row>
    <row r="105" spans="1:33" s="3" customFormat="1" ht="94.5" customHeight="1">
      <c r="A105" s="23" t="s">
        <v>24</v>
      </c>
      <c r="B105" s="119" t="s">
        <v>1361</v>
      </c>
      <c r="C105" s="23" t="s">
        <v>162</v>
      </c>
      <c r="D105" s="23" t="s">
        <v>813</v>
      </c>
      <c r="E105" s="23" t="s">
        <v>1362</v>
      </c>
      <c r="F105" s="23"/>
      <c r="G105" s="54">
        <f aca="true" t="shared" si="25" ref="G105:I106">SUM(G106)</f>
        <v>0</v>
      </c>
      <c r="H105" s="54">
        <f t="shared" si="25"/>
        <v>120.4</v>
      </c>
      <c r="I105" s="54">
        <f t="shared" si="25"/>
        <v>120.4</v>
      </c>
      <c r="J105" s="77">
        <f t="shared" si="16"/>
        <v>100</v>
      </c>
      <c r="K105" s="49"/>
      <c r="L105" s="50"/>
      <c r="M105" s="72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</row>
    <row r="106" spans="1:33" s="3" customFormat="1" ht="12.75">
      <c r="A106" s="23" t="s">
        <v>25</v>
      </c>
      <c r="B106" s="25" t="s">
        <v>113</v>
      </c>
      <c r="C106" s="23" t="s">
        <v>162</v>
      </c>
      <c r="D106" s="23" t="s">
        <v>813</v>
      </c>
      <c r="E106" s="23" t="s">
        <v>1362</v>
      </c>
      <c r="F106" s="23" t="s">
        <v>147</v>
      </c>
      <c r="G106" s="54">
        <f t="shared" si="25"/>
        <v>0</v>
      </c>
      <c r="H106" s="54">
        <f t="shared" si="25"/>
        <v>120.4</v>
      </c>
      <c r="I106" s="54">
        <f t="shared" si="25"/>
        <v>120.4</v>
      </c>
      <c r="J106" s="77">
        <f t="shared" si="16"/>
        <v>100</v>
      </c>
      <c r="K106" s="49"/>
      <c r="L106" s="50"/>
      <c r="M106" s="72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</row>
    <row r="107" spans="1:33" s="3" customFormat="1" ht="12.75">
      <c r="A107" s="23" t="s">
        <v>26</v>
      </c>
      <c r="B107" s="25" t="s">
        <v>143</v>
      </c>
      <c r="C107" s="23" t="s">
        <v>162</v>
      </c>
      <c r="D107" s="23" t="s">
        <v>813</v>
      </c>
      <c r="E107" s="23" t="s">
        <v>1362</v>
      </c>
      <c r="F107" s="23" t="s">
        <v>146</v>
      </c>
      <c r="G107" s="120">
        <v>0</v>
      </c>
      <c r="H107" s="120">
        <v>120.4</v>
      </c>
      <c r="I107" s="120">
        <v>120.4</v>
      </c>
      <c r="J107" s="77">
        <f t="shared" si="16"/>
        <v>100</v>
      </c>
      <c r="K107" s="49"/>
      <c r="L107" s="50"/>
      <c r="M107" s="72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</row>
    <row r="108" spans="1:33" s="3" customFormat="1" ht="12.75">
      <c r="A108" s="23" t="s">
        <v>179</v>
      </c>
      <c r="B108" s="25" t="s">
        <v>1363</v>
      </c>
      <c r="C108" s="23" t="s">
        <v>162</v>
      </c>
      <c r="D108" s="23" t="s">
        <v>813</v>
      </c>
      <c r="E108" s="23" t="s">
        <v>1364</v>
      </c>
      <c r="F108" s="23"/>
      <c r="G108" s="58">
        <f>SUM(G109)</f>
        <v>0</v>
      </c>
      <c r="H108" s="58">
        <f>SUM(H109)</f>
        <v>4304.8</v>
      </c>
      <c r="I108" s="58">
        <f>SUM(I109)</f>
        <v>4304.8</v>
      </c>
      <c r="J108" s="77">
        <f t="shared" si="16"/>
        <v>100</v>
      </c>
      <c r="K108" s="49"/>
      <c r="L108" s="50"/>
      <c r="M108" s="72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</row>
    <row r="109" spans="1:33" s="3" customFormat="1" ht="76.5">
      <c r="A109" s="23" t="s">
        <v>189</v>
      </c>
      <c r="B109" s="25" t="s">
        <v>1365</v>
      </c>
      <c r="C109" s="23" t="s">
        <v>162</v>
      </c>
      <c r="D109" s="23" t="s">
        <v>813</v>
      </c>
      <c r="E109" s="23" t="s">
        <v>1366</v>
      </c>
      <c r="F109" s="23"/>
      <c r="G109" s="54">
        <f aca="true" t="shared" si="26" ref="G109:I110">SUM(G110)</f>
        <v>0</v>
      </c>
      <c r="H109" s="54">
        <f t="shared" si="26"/>
        <v>4304.8</v>
      </c>
      <c r="I109" s="54">
        <f t="shared" si="26"/>
        <v>4304.8</v>
      </c>
      <c r="J109" s="77">
        <f t="shared" si="16"/>
        <v>100</v>
      </c>
      <c r="K109" s="49"/>
      <c r="L109" s="50"/>
      <c r="M109" s="72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</row>
    <row r="110" spans="1:33" s="3" customFormat="1" ht="12.75">
      <c r="A110" s="23" t="s">
        <v>175</v>
      </c>
      <c r="B110" s="25" t="s">
        <v>113</v>
      </c>
      <c r="C110" s="23" t="s">
        <v>162</v>
      </c>
      <c r="D110" s="23" t="s">
        <v>813</v>
      </c>
      <c r="E110" s="23" t="s">
        <v>1366</v>
      </c>
      <c r="F110" s="23" t="s">
        <v>147</v>
      </c>
      <c r="G110" s="54">
        <f t="shared" si="26"/>
        <v>0</v>
      </c>
      <c r="H110" s="54">
        <f t="shared" si="26"/>
        <v>4304.8</v>
      </c>
      <c r="I110" s="54">
        <f t="shared" si="26"/>
        <v>4304.8</v>
      </c>
      <c r="J110" s="77">
        <f t="shared" si="16"/>
        <v>100</v>
      </c>
      <c r="K110" s="49"/>
      <c r="L110" s="50"/>
      <c r="M110" s="72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</row>
    <row r="111" spans="1:33" s="3" customFormat="1" ht="12.75">
      <c r="A111" s="23" t="s">
        <v>994</v>
      </c>
      <c r="B111" s="25" t="s">
        <v>143</v>
      </c>
      <c r="C111" s="23" t="s">
        <v>162</v>
      </c>
      <c r="D111" s="23" t="s">
        <v>813</v>
      </c>
      <c r="E111" s="23" t="s">
        <v>1366</v>
      </c>
      <c r="F111" s="23" t="s">
        <v>146</v>
      </c>
      <c r="G111" s="120">
        <v>0</v>
      </c>
      <c r="H111" s="120">
        <v>4304.8</v>
      </c>
      <c r="I111" s="54">
        <v>4304.8</v>
      </c>
      <c r="J111" s="77">
        <f t="shared" si="16"/>
        <v>100</v>
      </c>
      <c r="K111" s="49"/>
      <c r="L111" s="50"/>
      <c r="M111" s="72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</row>
    <row r="112" spans="1:33" s="3" customFormat="1" ht="22.5" customHeight="1">
      <c r="A112" s="23" t="s">
        <v>995</v>
      </c>
      <c r="B112" s="34" t="s">
        <v>188</v>
      </c>
      <c r="C112" s="31" t="s">
        <v>189</v>
      </c>
      <c r="D112" s="31"/>
      <c r="E112" s="31"/>
      <c r="F112" s="31"/>
      <c r="G112" s="77">
        <f>G113</f>
        <v>2635.9</v>
      </c>
      <c r="H112" s="77">
        <f>H113</f>
        <v>2635.9</v>
      </c>
      <c r="I112" s="77">
        <f>I113</f>
        <v>2625.2</v>
      </c>
      <c r="J112" s="77">
        <f t="shared" si="16"/>
        <v>99.59406654273681</v>
      </c>
      <c r="K112" s="88">
        <f>SUM(K113:K129)</f>
        <v>0</v>
      </c>
      <c r="L112" s="88">
        <f>SUM(L113:L129)</f>
        <v>1818.1000000000001</v>
      </c>
      <c r="M112" s="72"/>
      <c r="N112" s="75"/>
      <c r="O112" s="75"/>
      <c r="P112" s="75"/>
      <c r="Q112" s="75"/>
      <c r="R112" s="75"/>
      <c r="S112" s="75"/>
      <c r="T112" s="75">
        <f>SUM(T113:T129)</f>
        <v>0</v>
      </c>
      <c r="U112" s="75">
        <f>SUM(U113:U129)</f>
        <v>1892.0000000000002</v>
      </c>
      <c r="V112" s="75"/>
      <c r="W112" s="75"/>
      <c r="X112" s="75">
        <f>SUM(X113:X129)</f>
        <v>100</v>
      </c>
      <c r="Y112" s="75">
        <f>SUM(Y113:Y141)</f>
        <v>0</v>
      </c>
      <c r="Z112" s="65">
        <f>SUM(Z113:Z129)</f>
        <v>2300.1000000000004</v>
      </c>
      <c r="AA112" s="65">
        <f>SUM(AA113:AA129)</f>
        <v>0</v>
      </c>
      <c r="AB112" s="65">
        <f>SUM(AB113:AB128)</f>
        <v>2635.9</v>
      </c>
      <c r="AC112" s="65"/>
      <c r="AD112" s="65">
        <f>SUM(AD113:AD129)</f>
        <v>0</v>
      </c>
      <c r="AE112" s="65">
        <f>SUM(AE113:AE129)</f>
        <v>0</v>
      </c>
      <c r="AF112" s="75"/>
      <c r="AG112" s="75"/>
    </row>
    <row r="113" spans="1:33" s="3" customFormat="1" ht="22.5" customHeight="1">
      <c r="A113" s="23" t="s">
        <v>996</v>
      </c>
      <c r="B113" s="34" t="s">
        <v>215</v>
      </c>
      <c r="C113" s="31" t="s">
        <v>189</v>
      </c>
      <c r="D113" s="31" t="s">
        <v>177</v>
      </c>
      <c r="E113" s="31"/>
      <c r="F113" s="31"/>
      <c r="G113" s="77">
        <f>SUM(G114)</f>
        <v>2635.9</v>
      </c>
      <c r="H113" s="77">
        <f>SUM(H114)</f>
        <v>2635.9</v>
      </c>
      <c r="I113" s="77">
        <f>SUM(I114)</f>
        <v>2625.2</v>
      </c>
      <c r="J113" s="77">
        <f t="shared" si="16"/>
        <v>99.59406654273681</v>
      </c>
      <c r="K113" s="49"/>
      <c r="L113" s="50"/>
      <c r="M113" s="72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</row>
    <row r="114" spans="1:33" s="3" customFormat="1" ht="38.25">
      <c r="A114" s="23" t="s">
        <v>997</v>
      </c>
      <c r="B114" s="35" t="s">
        <v>195</v>
      </c>
      <c r="C114" s="36" t="s">
        <v>189</v>
      </c>
      <c r="D114" s="36" t="s">
        <v>200</v>
      </c>
      <c r="E114" s="36"/>
      <c r="F114" s="36"/>
      <c r="G114" s="78">
        <f aca="true" t="shared" si="27" ref="G114:I115">G115</f>
        <v>2635.9</v>
      </c>
      <c r="H114" s="78">
        <f t="shared" si="27"/>
        <v>2635.9</v>
      </c>
      <c r="I114" s="78">
        <f t="shared" si="27"/>
        <v>2625.2</v>
      </c>
      <c r="J114" s="77">
        <f t="shared" si="16"/>
        <v>99.59406654273681</v>
      </c>
      <c r="K114" s="49"/>
      <c r="L114" s="50"/>
      <c r="M114" s="72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</row>
    <row r="115" spans="1:33" s="8" customFormat="1" ht="21" customHeight="1">
      <c r="A115" s="23" t="s">
        <v>998</v>
      </c>
      <c r="B115" s="24" t="s">
        <v>192</v>
      </c>
      <c r="C115" s="23" t="s">
        <v>189</v>
      </c>
      <c r="D115" s="23" t="s">
        <v>200</v>
      </c>
      <c r="E115" s="99" t="s">
        <v>317</v>
      </c>
      <c r="F115" s="23"/>
      <c r="G115" s="54">
        <f t="shared" si="27"/>
        <v>2635.9</v>
      </c>
      <c r="H115" s="54">
        <f t="shared" si="27"/>
        <v>2635.9</v>
      </c>
      <c r="I115" s="54">
        <f t="shared" si="27"/>
        <v>2625.2</v>
      </c>
      <c r="J115" s="77">
        <f t="shared" si="16"/>
        <v>99.59406654273681</v>
      </c>
      <c r="K115" s="52"/>
      <c r="L115" s="53"/>
      <c r="M115" s="73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</row>
    <row r="116" spans="1:33" s="4" customFormat="1" ht="12.75">
      <c r="A116" s="23" t="s">
        <v>999</v>
      </c>
      <c r="B116" s="24" t="s">
        <v>193</v>
      </c>
      <c r="C116" s="23" t="s">
        <v>189</v>
      </c>
      <c r="D116" s="23" t="s">
        <v>200</v>
      </c>
      <c r="E116" s="99" t="s">
        <v>316</v>
      </c>
      <c r="F116" s="23"/>
      <c r="G116" s="54">
        <f>G120+G123+G117</f>
        <v>2635.9</v>
      </c>
      <c r="H116" s="54">
        <f>H120+H123+H117</f>
        <v>2635.9</v>
      </c>
      <c r="I116" s="54">
        <f>I120+I123+I117</f>
        <v>2625.2</v>
      </c>
      <c r="J116" s="77">
        <f t="shared" si="16"/>
        <v>99.59406654273681</v>
      </c>
      <c r="K116" s="51"/>
      <c r="L116" s="46"/>
      <c r="M116" s="74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</row>
    <row r="117" spans="1:33" s="4" customFormat="1" ht="38.25">
      <c r="A117" s="23" t="s">
        <v>1000</v>
      </c>
      <c r="B117" s="24" t="s">
        <v>194</v>
      </c>
      <c r="C117" s="23" t="s">
        <v>189</v>
      </c>
      <c r="D117" s="23" t="s">
        <v>200</v>
      </c>
      <c r="E117" s="99" t="s">
        <v>946</v>
      </c>
      <c r="F117" s="23"/>
      <c r="G117" s="54">
        <f aca="true" t="shared" si="28" ref="G117:I118">G118</f>
        <v>1888.9</v>
      </c>
      <c r="H117" s="54">
        <f t="shared" si="28"/>
        <v>1888.9</v>
      </c>
      <c r="I117" s="54">
        <f t="shared" si="28"/>
        <v>1885.1</v>
      </c>
      <c r="J117" s="77">
        <f t="shared" si="16"/>
        <v>99.79882471279579</v>
      </c>
      <c r="K117" s="51"/>
      <c r="L117" s="62">
        <v>1226.5</v>
      </c>
      <c r="M117" s="74"/>
      <c r="N117" s="65"/>
      <c r="O117" s="65"/>
      <c r="P117" s="65"/>
      <c r="Q117" s="65"/>
      <c r="R117" s="65"/>
      <c r="S117" s="65"/>
      <c r="T117" s="65"/>
      <c r="U117" s="43">
        <v>1438.9</v>
      </c>
      <c r="V117" s="65"/>
      <c r="W117" s="65"/>
      <c r="X117" s="65"/>
      <c r="Y117" s="65"/>
      <c r="Z117" s="43">
        <v>1581.2</v>
      </c>
      <c r="AA117" s="65"/>
      <c r="AB117" s="43">
        <v>1888.9</v>
      </c>
      <c r="AC117" s="65"/>
      <c r="AD117" s="65"/>
      <c r="AE117" s="65"/>
      <c r="AF117" s="65"/>
      <c r="AG117" s="65"/>
    </row>
    <row r="118" spans="1:33" s="4" customFormat="1" ht="51">
      <c r="A118" s="23" t="s">
        <v>211</v>
      </c>
      <c r="B118" s="25" t="s">
        <v>181</v>
      </c>
      <c r="C118" s="23" t="s">
        <v>189</v>
      </c>
      <c r="D118" s="23" t="s">
        <v>200</v>
      </c>
      <c r="E118" s="99" t="s">
        <v>946</v>
      </c>
      <c r="F118" s="23" t="s">
        <v>179</v>
      </c>
      <c r="G118" s="54">
        <f t="shared" si="28"/>
        <v>1888.9</v>
      </c>
      <c r="H118" s="54">
        <f t="shared" si="28"/>
        <v>1888.9</v>
      </c>
      <c r="I118" s="54">
        <f t="shared" si="28"/>
        <v>1885.1</v>
      </c>
      <c r="J118" s="77">
        <f t="shared" si="16"/>
        <v>99.79882471279579</v>
      </c>
      <c r="K118" s="51"/>
      <c r="L118" s="46"/>
      <c r="M118" s="74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43"/>
      <c r="AA118" s="65"/>
      <c r="AB118" s="65"/>
      <c r="AC118" s="65"/>
      <c r="AD118" s="65"/>
      <c r="AE118" s="65"/>
      <c r="AF118" s="65"/>
      <c r="AG118" s="65"/>
    </row>
    <row r="119" spans="1:33" s="4" customFormat="1" ht="25.5">
      <c r="A119" s="23" t="s">
        <v>176</v>
      </c>
      <c r="B119" s="25" t="s">
        <v>300</v>
      </c>
      <c r="C119" s="23" t="s">
        <v>189</v>
      </c>
      <c r="D119" s="23" t="s">
        <v>200</v>
      </c>
      <c r="E119" s="99" t="s">
        <v>946</v>
      </c>
      <c r="F119" s="23" t="s">
        <v>180</v>
      </c>
      <c r="G119" s="54">
        <v>1888.9</v>
      </c>
      <c r="H119" s="54">
        <v>1888.9</v>
      </c>
      <c r="I119" s="54">
        <v>1885.1</v>
      </c>
      <c r="J119" s="77">
        <f t="shared" si="16"/>
        <v>99.79882471279579</v>
      </c>
      <c r="K119" s="51"/>
      <c r="L119" s="46"/>
      <c r="M119" s="74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43"/>
      <c r="AA119" s="65"/>
      <c r="AB119" s="65"/>
      <c r="AC119" s="65"/>
      <c r="AD119" s="65"/>
      <c r="AE119" s="65"/>
      <c r="AF119" s="65"/>
      <c r="AG119" s="65"/>
    </row>
    <row r="120" spans="1:33" s="5" customFormat="1" ht="25.5">
      <c r="A120" s="23" t="s">
        <v>1001</v>
      </c>
      <c r="B120" s="24" t="s">
        <v>196</v>
      </c>
      <c r="C120" s="23" t="s">
        <v>189</v>
      </c>
      <c r="D120" s="23" t="s">
        <v>200</v>
      </c>
      <c r="E120" s="99" t="s">
        <v>947</v>
      </c>
      <c r="F120" s="23"/>
      <c r="G120" s="54">
        <f aca="true" t="shared" si="29" ref="G120:I121">G121</f>
        <v>19.9</v>
      </c>
      <c r="H120" s="54">
        <f t="shared" si="29"/>
        <v>19.9</v>
      </c>
      <c r="I120" s="54">
        <f t="shared" si="29"/>
        <v>19.9</v>
      </c>
      <c r="J120" s="77">
        <f t="shared" si="16"/>
        <v>100</v>
      </c>
      <c r="K120" s="47"/>
      <c r="L120" s="48">
        <v>19.9</v>
      </c>
      <c r="M120" s="86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>
        <v>19.9</v>
      </c>
      <c r="AA120" s="83"/>
      <c r="AB120" s="83">
        <v>19.9</v>
      </c>
      <c r="AC120" s="83"/>
      <c r="AD120" s="83"/>
      <c r="AE120" s="83"/>
      <c r="AF120" s="83"/>
      <c r="AG120" s="83"/>
    </row>
    <row r="121" spans="1:33" s="3" customFormat="1" ht="51">
      <c r="A121" s="23" t="s">
        <v>1002</v>
      </c>
      <c r="B121" s="25" t="s">
        <v>181</v>
      </c>
      <c r="C121" s="23" t="s">
        <v>189</v>
      </c>
      <c r="D121" s="23" t="s">
        <v>200</v>
      </c>
      <c r="E121" s="99" t="s">
        <v>947</v>
      </c>
      <c r="F121" s="23" t="s">
        <v>179</v>
      </c>
      <c r="G121" s="54">
        <f t="shared" si="29"/>
        <v>19.9</v>
      </c>
      <c r="H121" s="54">
        <f t="shared" si="29"/>
        <v>19.9</v>
      </c>
      <c r="I121" s="54">
        <f t="shared" si="29"/>
        <v>19.9</v>
      </c>
      <c r="J121" s="77">
        <f t="shared" si="16"/>
        <v>100</v>
      </c>
      <c r="K121" s="49"/>
      <c r="L121" s="50"/>
      <c r="M121" s="72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</row>
    <row r="122" spans="1:33" s="3" customFormat="1" ht="25.5">
      <c r="A122" s="23" t="s">
        <v>1003</v>
      </c>
      <c r="B122" s="25" t="s">
        <v>300</v>
      </c>
      <c r="C122" s="23" t="s">
        <v>189</v>
      </c>
      <c r="D122" s="23" t="s">
        <v>200</v>
      </c>
      <c r="E122" s="99" t="s">
        <v>947</v>
      </c>
      <c r="F122" s="23" t="s">
        <v>180</v>
      </c>
      <c r="G122" s="54">
        <v>19.9</v>
      </c>
      <c r="H122" s="54">
        <v>19.9</v>
      </c>
      <c r="I122" s="54">
        <v>19.9</v>
      </c>
      <c r="J122" s="77">
        <f t="shared" si="16"/>
        <v>100</v>
      </c>
      <c r="K122" s="54"/>
      <c r="L122" s="50"/>
      <c r="M122" s="72"/>
      <c r="N122" s="75"/>
      <c r="O122" s="75"/>
      <c r="P122" s="75"/>
      <c r="Q122" s="75"/>
      <c r="R122" s="75"/>
      <c r="S122" s="75"/>
      <c r="T122" s="75"/>
      <c r="U122" s="75">
        <v>19.9</v>
      </c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</row>
    <row r="123" spans="1:33" s="3" customFormat="1" ht="38.25">
      <c r="A123" s="23" t="s">
        <v>1004</v>
      </c>
      <c r="B123" s="24" t="s">
        <v>197</v>
      </c>
      <c r="C123" s="23" t="s">
        <v>189</v>
      </c>
      <c r="D123" s="23" t="s">
        <v>200</v>
      </c>
      <c r="E123" s="99" t="s">
        <v>318</v>
      </c>
      <c r="F123" s="23"/>
      <c r="G123" s="54">
        <f>G124+G126+G128</f>
        <v>727.1</v>
      </c>
      <c r="H123" s="54">
        <f>H124+H126+H128</f>
        <v>727.1</v>
      </c>
      <c r="I123" s="54">
        <f>I124+I126+I128</f>
        <v>720.2</v>
      </c>
      <c r="J123" s="77">
        <f t="shared" si="16"/>
        <v>99.05102461834686</v>
      </c>
      <c r="K123" s="49"/>
      <c r="L123" s="50">
        <v>571.7</v>
      </c>
      <c r="M123" s="72"/>
      <c r="N123" s="75"/>
      <c r="O123" s="75"/>
      <c r="P123" s="75"/>
      <c r="Q123" s="75"/>
      <c r="R123" s="75"/>
      <c r="S123" s="75"/>
      <c r="T123" s="75"/>
      <c r="U123" s="75">
        <v>433.2</v>
      </c>
      <c r="V123" s="75"/>
      <c r="W123" s="75"/>
      <c r="X123" s="75"/>
      <c r="Y123" s="75"/>
      <c r="Z123" s="75">
        <v>699</v>
      </c>
      <c r="AA123" s="75"/>
      <c r="AB123" s="75">
        <v>727.1</v>
      </c>
      <c r="AC123" s="75"/>
      <c r="AD123" s="75"/>
      <c r="AE123" s="75"/>
      <c r="AF123" s="75"/>
      <c r="AG123" s="75"/>
    </row>
    <row r="124" spans="1:33" s="3" customFormat="1" ht="51">
      <c r="A124" s="23" t="s">
        <v>1005</v>
      </c>
      <c r="B124" s="25" t="s">
        <v>181</v>
      </c>
      <c r="C124" s="23" t="s">
        <v>189</v>
      </c>
      <c r="D124" s="23" t="s">
        <v>200</v>
      </c>
      <c r="E124" s="99" t="s">
        <v>318</v>
      </c>
      <c r="F124" s="23" t="s">
        <v>179</v>
      </c>
      <c r="G124" s="54">
        <f>G125</f>
        <v>677.4</v>
      </c>
      <c r="H124" s="54">
        <f>H125</f>
        <v>677.4</v>
      </c>
      <c r="I124" s="54">
        <f>I125</f>
        <v>672.7</v>
      </c>
      <c r="J124" s="77">
        <f t="shared" si="16"/>
        <v>99.30617065249484</v>
      </c>
      <c r="K124" s="49"/>
      <c r="L124" s="50"/>
      <c r="M124" s="72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</row>
    <row r="125" spans="1:33" s="3" customFormat="1" ht="29.25" customHeight="1">
      <c r="A125" s="23" t="s">
        <v>1006</v>
      </c>
      <c r="B125" s="25" t="s">
        <v>300</v>
      </c>
      <c r="C125" s="23" t="s">
        <v>189</v>
      </c>
      <c r="D125" s="23" t="s">
        <v>200</v>
      </c>
      <c r="E125" s="99" t="s">
        <v>318</v>
      </c>
      <c r="F125" s="23" t="s">
        <v>180</v>
      </c>
      <c r="G125" s="54">
        <v>677.4</v>
      </c>
      <c r="H125" s="54">
        <v>677.4</v>
      </c>
      <c r="I125" s="54">
        <v>672.7</v>
      </c>
      <c r="J125" s="77">
        <f t="shared" si="16"/>
        <v>99.30617065249484</v>
      </c>
      <c r="K125" s="49"/>
      <c r="L125" s="50"/>
      <c r="M125" s="72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</row>
    <row r="126" spans="1:33" s="3" customFormat="1" ht="25.5">
      <c r="A126" s="23" t="s">
        <v>1007</v>
      </c>
      <c r="B126" s="22" t="s">
        <v>144</v>
      </c>
      <c r="C126" s="23" t="s">
        <v>189</v>
      </c>
      <c r="D126" s="23" t="s">
        <v>200</v>
      </c>
      <c r="E126" s="99" t="s">
        <v>318</v>
      </c>
      <c r="F126" s="23" t="s">
        <v>109</v>
      </c>
      <c r="G126" s="54">
        <f>G127</f>
        <v>49.5</v>
      </c>
      <c r="H126" s="54">
        <f>H127</f>
        <v>49.5</v>
      </c>
      <c r="I126" s="54">
        <f>I127</f>
        <v>47.5</v>
      </c>
      <c r="J126" s="77">
        <f t="shared" si="16"/>
        <v>95.95959595959596</v>
      </c>
      <c r="K126" s="49"/>
      <c r="L126" s="50"/>
      <c r="M126" s="72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</row>
    <row r="127" spans="1:33" s="3" customFormat="1" ht="25.5">
      <c r="A127" s="23" t="s">
        <v>1008</v>
      </c>
      <c r="B127" s="22" t="s">
        <v>145</v>
      </c>
      <c r="C127" s="23" t="s">
        <v>189</v>
      </c>
      <c r="D127" s="23" t="s">
        <v>200</v>
      </c>
      <c r="E127" s="99" t="s">
        <v>318</v>
      </c>
      <c r="F127" s="23" t="s">
        <v>102</v>
      </c>
      <c r="G127" s="54">
        <v>49.5</v>
      </c>
      <c r="H127" s="54">
        <v>49.5</v>
      </c>
      <c r="I127" s="54">
        <v>47.5</v>
      </c>
      <c r="J127" s="77">
        <f t="shared" si="16"/>
        <v>95.95959595959596</v>
      </c>
      <c r="K127" s="54"/>
      <c r="L127" s="50"/>
      <c r="M127" s="72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>
        <f>98+2</f>
        <v>100</v>
      </c>
      <c r="Y127" s="75"/>
      <c r="Z127" s="75"/>
      <c r="AA127" s="75"/>
      <c r="AB127" s="75"/>
      <c r="AC127" s="75"/>
      <c r="AD127" s="75"/>
      <c r="AE127" s="75"/>
      <c r="AF127" s="75"/>
      <c r="AG127" s="75"/>
    </row>
    <row r="128" spans="1:33" s="3" customFormat="1" ht="12.75">
      <c r="A128" s="23" t="s">
        <v>180</v>
      </c>
      <c r="B128" s="25" t="s">
        <v>198</v>
      </c>
      <c r="C128" s="23" t="s">
        <v>189</v>
      </c>
      <c r="D128" s="23" t="s">
        <v>200</v>
      </c>
      <c r="E128" s="99" t="s">
        <v>318</v>
      </c>
      <c r="F128" s="23" t="s">
        <v>201</v>
      </c>
      <c r="G128" s="54">
        <f>G129</f>
        <v>0.2</v>
      </c>
      <c r="H128" s="54">
        <f>H129</f>
        <v>0.2</v>
      </c>
      <c r="I128" s="54">
        <f>I129</f>
        <v>0</v>
      </c>
      <c r="J128" s="77">
        <f t="shared" si="16"/>
        <v>0</v>
      </c>
      <c r="K128" s="54"/>
      <c r="L128" s="50"/>
      <c r="M128" s="72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</row>
    <row r="129" spans="1:33" s="3" customFormat="1" ht="12.75">
      <c r="A129" s="23" t="s">
        <v>665</v>
      </c>
      <c r="B129" s="25" t="s">
        <v>199</v>
      </c>
      <c r="C129" s="23" t="s">
        <v>189</v>
      </c>
      <c r="D129" s="23" t="s">
        <v>200</v>
      </c>
      <c r="E129" s="99" t="s">
        <v>318</v>
      </c>
      <c r="F129" s="23" t="s">
        <v>202</v>
      </c>
      <c r="G129" s="54">
        <v>0.2</v>
      </c>
      <c r="H129" s="54">
        <v>0.2</v>
      </c>
      <c r="I129" s="54">
        <v>0</v>
      </c>
      <c r="J129" s="77">
        <f t="shared" si="16"/>
        <v>0</v>
      </c>
      <c r="K129" s="54"/>
      <c r="L129" s="50"/>
      <c r="M129" s="72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</row>
    <row r="130" spans="1:33" s="16" customFormat="1" ht="22.5" customHeight="1">
      <c r="A130" s="23" t="s">
        <v>27</v>
      </c>
      <c r="B130" s="34" t="s">
        <v>637</v>
      </c>
      <c r="C130" s="31" t="s">
        <v>175</v>
      </c>
      <c r="D130" s="31"/>
      <c r="E130" s="31"/>
      <c r="F130" s="31"/>
      <c r="G130" s="77">
        <f>G131</f>
        <v>2634.5</v>
      </c>
      <c r="H130" s="77">
        <f>H131</f>
        <v>2724.5</v>
      </c>
      <c r="I130" s="77">
        <f>I131</f>
        <v>2706.7000000000003</v>
      </c>
      <c r="J130" s="77">
        <f t="shared" si="16"/>
        <v>99.34666911359884</v>
      </c>
      <c r="K130" s="51">
        <f>SUM(K131:K139)</f>
        <v>0</v>
      </c>
      <c r="L130" s="51">
        <f>SUM(L131:L139)</f>
        <v>1728.3</v>
      </c>
      <c r="M130" s="72"/>
      <c r="N130" s="75"/>
      <c r="O130" s="75"/>
      <c r="P130" s="75"/>
      <c r="Q130" s="75"/>
      <c r="R130" s="75"/>
      <c r="S130" s="75"/>
      <c r="T130" s="75"/>
      <c r="U130" s="75">
        <v>2030.9</v>
      </c>
      <c r="V130" s="75"/>
      <c r="W130" s="75"/>
      <c r="X130" s="75">
        <f>SUM(X131:X141)</f>
        <v>85</v>
      </c>
      <c r="Y130" s="75">
        <f>SUM(Y131:Y141)</f>
        <v>0</v>
      </c>
      <c r="Z130" s="65">
        <f>SUM(Z131:Z141)</f>
        <v>2426.8</v>
      </c>
      <c r="AA130" s="65">
        <f>SUM(AA131:AA141)</f>
        <v>0</v>
      </c>
      <c r="AB130" s="65">
        <f>AB132</f>
        <v>2634.5</v>
      </c>
      <c r="AC130" s="65"/>
      <c r="AD130" s="65">
        <f>SUM(AD131:AD141)</f>
        <v>0</v>
      </c>
      <c r="AE130" s="65">
        <f>SUM(AE131:AE141)</f>
        <v>0</v>
      </c>
      <c r="AF130" s="75"/>
      <c r="AG130" s="75"/>
    </row>
    <row r="131" spans="1:33" s="16" customFormat="1" ht="21.75" customHeight="1">
      <c r="A131" s="23" t="s">
        <v>28</v>
      </c>
      <c r="B131" s="34" t="s">
        <v>215</v>
      </c>
      <c r="C131" s="31" t="s">
        <v>175</v>
      </c>
      <c r="D131" s="31" t="s">
        <v>177</v>
      </c>
      <c r="E131" s="31"/>
      <c r="F131" s="31"/>
      <c r="G131" s="77">
        <f aca="true" t="shared" si="30" ref="G131:I136">SUM(G132)</f>
        <v>2634.5</v>
      </c>
      <c r="H131" s="77">
        <f t="shared" si="30"/>
        <v>2724.5</v>
      </c>
      <c r="I131" s="77">
        <f t="shared" si="30"/>
        <v>2706.7000000000003</v>
      </c>
      <c r="J131" s="77">
        <f aca="true" t="shared" si="31" ref="J131:J192">I131/H131*100</f>
        <v>99.34666911359884</v>
      </c>
      <c r="K131" s="49"/>
      <c r="L131" s="50"/>
      <c r="M131" s="72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</row>
    <row r="132" spans="1:33" s="16" customFormat="1" ht="38.25">
      <c r="A132" s="23" t="s">
        <v>29</v>
      </c>
      <c r="B132" s="35" t="s">
        <v>216</v>
      </c>
      <c r="C132" s="36" t="s">
        <v>175</v>
      </c>
      <c r="D132" s="36" t="s">
        <v>178</v>
      </c>
      <c r="E132" s="36"/>
      <c r="F132" s="36"/>
      <c r="G132" s="78">
        <f t="shared" si="30"/>
        <v>2634.5</v>
      </c>
      <c r="H132" s="78">
        <f t="shared" si="30"/>
        <v>2724.5</v>
      </c>
      <c r="I132" s="78">
        <f t="shared" si="30"/>
        <v>2706.7000000000003</v>
      </c>
      <c r="J132" s="77">
        <f t="shared" si="31"/>
        <v>99.34666911359884</v>
      </c>
      <c r="K132" s="49"/>
      <c r="L132" s="50">
        <v>1728.3</v>
      </c>
      <c r="M132" s="72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>
        <v>2634.5</v>
      </c>
      <c r="AC132" s="75"/>
      <c r="AD132" s="75"/>
      <c r="AE132" s="75"/>
      <c r="AF132" s="75"/>
      <c r="AG132" s="75"/>
    </row>
    <row r="133" spans="1:33" s="16" customFormat="1" ht="12.75">
      <c r="A133" s="23" t="s">
        <v>30</v>
      </c>
      <c r="B133" s="22" t="s">
        <v>320</v>
      </c>
      <c r="C133" s="23" t="s">
        <v>175</v>
      </c>
      <c r="D133" s="23" t="s">
        <v>178</v>
      </c>
      <c r="E133" s="23" t="s">
        <v>319</v>
      </c>
      <c r="F133" s="23"/>
      <c r="G133" s="54">
        <f t="shared" si="30"/>
        <v>2634.5</v>
      </c>
      <c r="H133" s="54">
        <f t="shared" si="30"/>
        <v>2724.5</v>
      </c>
      <c r="I133" s="54">
        <f t="shared" si="30"/>
        <v>2706.7000000000003</v>
      </c>
      <c r="J133" s="77">
        <f t="shared" si="31"/>
        <v>99.34666911359884</v>
      </c>
      <c r="K133" s="49"/>
      <c r="L133" s="50"/>
      <c r="M133" s="72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</row>
    <row r="134" spans="1:33" s="16" customFormat="1" ht="25.5">
      <c r="A134" s="23" t="s">
        <v>31</v>
      </c>
      <c r="B134" s="22" t="s">
        <v>321</v>
      </c>
      <c r="C134" s="23" t="s">
        <v>175</v>
      </c>
      <c r="D134" s="23" t="s">
        <v>178</v>
      </c>
      <c r="E134" s="23" t="s">
        <v>322</v>
      </c>
      <c r="F134" s="23"/>
      <c r="G134" s="54">
        <f>SUM(G135+G142)</f>
        <v>2634.5</v>
      </c>
      <c r="H134" s="54">
        <f>SUM(H135+H142)</f>
        <v>2724.5</v>
      </c>
      <c r="I134" s="54">
        <f>SUM(I135+I142)</f>
        <v>2706.7000000000003</v>
      </c>
      <c r="J134" s="77">
        <f t="shared" si="31"/>
        <v>99.34666911359884</v>
      </c>
      <c r="K134" s="49"/>
      <c r="L134" s="50"/>
      <c r="M134" s="72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</row>
    <row r="135" spans="1:33" s="16" customFormat="1" ht="46.5" customHeight="1">
      <c r="A135" s="23" t="s">
        <v>32</v>
      </c>
      <c r="B135" s="24" t="s">
        <v>323</v>
      </c>
      <c r="C135" s="23" t="s">
        <v>175</v>
      </c>
      <c r="D135" s="23" t="s">
        <v>178</v>
      </c>
      <c r="E135" s="23" t="s">
        <v>324</v>
      </c>
      <c r="F135" s="23"/>
      <c r="G135" s="54">
        <f>SUM(G136+G138+G140)</f>
        <v>2634.5</v>
      </c>
      <c r="H135" s="54">
        <f>SUM(H136+H138+H140)</f>
        <v>2634.5</v>
      </c>
      <c r="I135" s="54">
        <f>SUM(I136+I138+I140)</f>
        <v>2616.7000000000003</v>
      </c>
      <c r="J135" s="77">
        <f t="shared" si="31"/>
        <v>99.32434997153162</v>
      </c>
      <c r="K135" s="49"/>
      <c r="L135" s="50"/>
      <c r="M135" s="7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>
        <v>2426.8</v>
      </c>
      <c r="AA135" s="75"/>
      <c r="AB135" s="75"/>
      <c r="AC135" s="75"/>
      <c r="AD135" s="75"/>
      <c r="AE135" s="75"/>
      <c r="AF135" s="75"/>
      <c r="AG135" s="75"/>
    </row>
    <row r="136" spans="1:33" s="16" customFormat="1" ht="57.75" customHeight="1">
      <c r="A136" s="23" t="s">
        <v>33</v>
      </c>
      <c r="B136" s="25" t="s">
        <v>181</v>
      </c>
      <c r="C136" s="23" t="s">
        <v>175</v>
      </c>
      <c r="D136" s="23" t="s">
        <v>178</v>
      </c>
      <c r="E136" s="23" t="s">
        <v>324</v>
      </c>
      <c r="F136" s="23" t="s">
        <v>179</v>
      </c>
      <c r="G136" s="54">
        <f t="shared" si="30"/>
        <v>2491</v>
      </c>
      <c r="H136" s="54">
        <f t="shared" si="30"/>
        <v>2491</v>
      </c>
      <c r="I136" s="54">
        <f>SUM(I137)</f>
        <v>2473.4</v>
      </c>
      <c r="J136" s="77">
        <f t="shared" si="31"/>
        <v>99.29345644319551</v>
      </c>
      <c r="K136" s="49"/>
      <c r="L136" s="50"/>
      <c r="M136" s="72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</row>
    <row r="137" spans="1:33" s="16" customFormat="1" ht="33.75" customHeight="1">
      <c r="A137" s="23" t="s">
        <v>121</v>
      </c>
      <c r="B137" s="25" t="s">
        <v>300</v>
      </c>
      <c r="C137" s="23" t="s">
        <v>175</v>
      </c>
      <c r="D137" s="23" t="s">
        <v>178</v>
      </c>
      <c r="E137" s="23" t="s">
        <v>324</v>
      </c>
      <c r="F137" s="23" t="s">
        <v>180</v>
      </c>
      <c r="G137" s="58">
        <f>2591-100</f>
        <v>2491</v>
      </c>
      <c r="H137" s="58">
        <f>2591-100</f>
        <v>2491</v>
      </c>
      <c r="I137" s="58">
        <v>2473.4</v>
      </c>
      <c r="J137" s="77">
        <f t="shared" si="31"/>
        <v>99.29345644319551</v>
      </c>
      <c r="K137" s="49"/>
      <c r="L137" s="50"/>
      <c r="M137" s="72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</row>
    <row r="138" spans="1:33" s="16" customFormat="1" ht="33" customHeight="1">
      <c r="A138" s="23" t="s">
        <v>122</v>
      </c>
      <c r="B138" s="22" t="s">
        <v>144</v>
      </c>
      <c r="C138" s="23" t="s">
        <v>175</v>
      </c>
      <c r="D138" s="23" t="s">
        <v>178</v>
      </c>
      <c r="E138" s="23" t="s">
        <v>324</v>
      </c>
      <c r="F138" s="23" t="s">
        <v>109</v>
      </c>
      <c r="G138" s="54">
        <f>SUM(G139)</f>
        <v>143.3</v>
      </c>
      <c r="H138" s="54">
        <f>SUM(H139)</f>
        <v>143.3</v>
      </c>
      <c r="I138" s="54">
        <f>SUM(I139)</f>
        <v>143.3</v>
      </c>
      <c r="J138" s="77">
        <f t="shared" si="31"/>
        <v>100</v>
      </c>
      <c r="K138" s="49"/>
      <c r="L138" s="50"/>
      <c r="M138" s="7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</row>
    <row r="139" spans="1:33" s="16" customFormat="1" ht="25.5">
      <c r="A139" s="23" t="s">
        <v>123</v>
      </c>
      <c r="B139" s="22" t="s">
        <v>145</v>
      </c>
      <c r="C139" s="23" t="s">
        <v>175</v>
      </c>
      <c r="D139" s="23" t="s">
        <v>178</v>
      </c>
      <c r="E139" s="23" t="s">
        <v>324</v>
      </c>
      <c r="F139" s="23" t="s">
        <v>102</v>
      </c>
      <c r="G139" s="58">
        <f>43.3+100</f>
        <v>143.3</v>
      </c>
      <c r="H139" s="58">
        <f>43.3+100</f>
        <v>143.3</v>
      </c>
      <c r="I139" s="58">
        <v>143.3</v>
      </c>
      <c r="J139" s="77">
        <f t="shared" si="31"/>
        <v>100</v>
      </c>
      <c r="K139" s="49"/>
      <c r="L139" s="50"/>
      <c r="M139" s="72"/>
      <c r="N139" s="75">
        <v>-0.5</v>
      </c>
      <c r="O139" s="75"/>
      <c r="P139" s="75"/>
      <c r="Q139" s="75"/>
      <c r="R139" s="75"/>
      <c r="S139" s="75"/>
      <c r="T139" s="75"/>
      <c r="U139" s="75"/>
      <c r="V139" s="75"/>
      <c r="W139" s="75"/>
      <c r="X139" s="75">
        <v>85</v>
      </c>
      <c r="Y139" s="75"/>
      <c r="Z139" s="75"/>
      <c r="AA139" s="75"/>
      <c r="AB139" s="75"/>
      <c r="AC139" s="75"/>
      <c r="AD139" s="75"/>
      <c r="AE139" s="75"/>
      <c r="AF139" s="75"/>
      <c r="AG139" s="75"/>
    </row>
    <row r="140" spans="1:33" s="16" customFormat="1" ht="18.75" customHeight="1">
      <c r="A140" s="23" t="s">
        <v>124</v>
      </c>
      <c r="B140" s="25" t="s">
        <v>198</v>
      </c>
      <c r="C140" s="23" t="s">
        <v>175</v>
      </c>
      <c r="D140" s="23" t="s">
        <v>178</v>
      </c>
      <c r="E140" s="23" t="s">
        <v>324</v>
      </c>
      <c r="F140" s="23" t="s">
        <v>201</v>
      </c>
      <c r="G140" s="54">
        <f>SUM(G141)</f>
        <v>0.2</v>
      </c>
      <c r="H140" s="54">
        <f>SUM(H141)</f>
        <v>0.2</v>
      </c>
      <c r="I140" s="54">
        <f>SUM(I141)</f>
        <v>0</v>
      </c>
      <c r="J140" s="77">
        <f t="shared" si="31"/>
        <v>0</v>
      </c>
      <c r="K140" s="49"/>
      <c r="L140" s="50"/>
      <c r="M140" s="72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</row>
    <row r="141" spans="1:33" s="16" customFormat="1" ht="20.25" customHeight="1">
      <c r="A141" s="23" t="s">
        <v>213</v>
      </c>
      <c r="B141" s="25" t="s">
        <v>199</v>
      </c>
      <c r="C141" s="23" t="s">
        <v>175</v>
      </c>
      <c r="D141" s="23" t="s">
        <v>178</v>
      </c>
      <c r="E141" s="23" t="s">
        <v>324</v>
      </c>
      <c r="F141" s="23" t="s">
        <v>202</v>
      </c>
      <c r="G141" s="58">
        <v>0.2</v>
      </c>
      <c r="H141" s="58">
        <v>0.2</v>
      </c>
      <c r="I141" s="58">
        <v>0</v>
      </c>
      <c r="J141" s="77">
        <f t="shared" si="31"/>
        <v>0</v>
      </c>
      <c r="K141" s="49"/>
      <c r="L141" s="50"/>
      <c r="M141" s="72"/>
      <c r="N141" s="75">
        <v>0.5</v>
      </c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</row>
    <row r="142" spans="1:33" s="16" customFormat="1" ht="62.25" customHeight="1">
      <c r="A142" s="23" t="s">
        <v>380</v>
      </c>
      <c r="B142" s="24" t="s">
        <v>1421</v>
      </c>
      <c r="C142" s="23" t="s">
        <v>175</v>
      </c>
      <c r="D142" s="23" t="s">
        <v>178</v>
      </c>
      <c r="E142" s="23" t="s">
        <v>1422</v>
      </c>
      <c r="F142" s="23"/>
      <c r="G142" s="54">
        <f aca="true" t="shared" si="32" ref="G142:I143">SUM(G143)</f>
        <v>0</v>
      </c>
      <c r="H142" s="54">
        <f t="shared" si="32"/>
        <v>90</v>
      </c>
      <c r="I142" s="54">
        <f t="shared" si="32"/>
        <v>90</v>
      </c>
      <c r="J142" s="77">
        <f t="shared" si="31"/>
        <v>100</v>
      </c>
      <c r="K142" s="49"/>
      <c r="L142" s="50"/>
      <c r="M142" s="72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</row>
    <row r="143" spans="1:33" s="16" customFormat="1" ht="60" customHeight="1">
      <c r="A143" s="23" t="s">
        <v>381</v>
      </c>
      <c r="B143" s="25" t="s">
        <v>181</v>
      </c>
      <c r="C143" s="23" t="s">
        <v>175</v>
      </c>
      <c r="D143" s="23" t="s">
        <v>178</v>
      </c>
      <c r="E143" s="23" t="s">
        <v>1422</v>
      </c>
      <c r="F143" s="23" t="s">
        <v>179</v>
      </c>
      <c r="G143" s="54">
        <f t="shared" si="32"/>
        <v>0</v>
      </c>
      <c r="H143" s="54">
        <f t="shared" si="32"/>
        <v>90</v>
      </c>
      <c r="I143" s="54">
        <f t="shared" si="32"/>
        <v>90</v>
      </c>
      <c r="J143" s="77">
        <f t="shared" si="31"/>
        <v>100</v>
      </c>
      <c r="K143" s="49"/>
      <c r="L143" s="50"/>
      <c r="M143" s="72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</row>
    <row r="144" spans="1:33" s="16" customFormat="1" ht="28.5" customHeight="1">
      <c r="A144" s="23" t="s">
        <v>1178</v>
      </c>
      <c r="B144" s="25" t="s">
        <v>300</v>
      </c>
      <c r="C144" s="23" t="s">
        <v>175</v>
      </c>
      <c r="D144" s="23" t="s">
        <v>178</v>
      </c>
      <c r="E144" s="23" t="s">
        <v>1422</v>
      </c>
      <c r="F144" s="23" t="s">
        <v>180</v>
      </c>
      <c r="G144" s="58">
        <v>0</v>
      </c>
      <c r="H144" s="58">
        <v>90</v>
      </c>
      <c r="I144" s="58">
        <v>90</v>
      </c>
      <c r="J144" s="77">
        <f t="shared" si="31"/>
        <v>100</v>
      </c>
      <c r="K144" s="49"/>
      <c r="L144" s="50"/>
      <c r="M144" s="7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</row>
    <row r="145" spans="1:33" s="16" customFormat="1" ht="21.75" customHeight="1">
      <c r="A145" s="23" t="s">
        <v>104</v>
      </c>
      <c r="B145" s="34" t="s">
        <v>543</v>
      </c>
      <c r="C145" s="31" t="s">
        <v>176</v>
      </c>
      <c r="D145" s="31"/>
      <c r="E145" s="31"/>
      <c r="F145" s="31"/>
      <c r="G145" s="77">
        <f>G146+G255+G307+G364+G422+G460+G535+G580+G401</f>
        <v>300944.1</v>
      </c>
      <c r="H145" s="77">
        <f>H146+H255+H307+H364+H422+H460+H535+H580+H401</f>
        <v>347188.8999999999</v>
      </c>
      <c r="I145" s="77">
        <f>I146+I255+I307+I364+I422+I460+I535+I580+I401</f>
        <v>335122.20000000007</v>
      </c>
      <c r="J145" s="77">
        <f t="shared" si="31"/>
        <v>96.5244568590759</v>
      </c>
      <c r="K145" s="51">
        <f>SUM(K146:K597)</f>
        <v>3589.5</v>
      </c>
      <c r="L145" s="51">
        <f>SUM(L146:L597)</f>
        <v>127980</v>
      </c>
      <c r="M145" s="72"/>
      <c r="N145" s="75"/>
      <c r="O145" s="75"/>
      <c r="P145" s="75"/>
      <c r="Q145" s="75"/>
      <c r="R145" s="75"/>
      <c r="S145" s="75"/>
      <c r="T145" s="75">
        <f>SUM(T146:T600)</f>
        <v>4423.7</v>
      </c>
      <c r="U145" s="75">
        <f>SUM(U146:U600)</f>
        <v>174780</v>
      </c>
      <c r="V145" s="75"/>
      <c r="W145" s="75"/>
      <c r="X145" s="75">
        <f>SUM(X146:X600)</f>
        <v>1732.0000000000002</v>
      </c>
      <c r="Y145" s="75">
        <f>SUM(Y146:Y600)</f>
        <v>8741.2</v>
      </c>
      <c r="Z145" s="107">
        <f aca="true" t="shared" si="33" ref="Z145:AE145">SUM(Z146:Z603)</f>
        <v>264944.1</v>
      </c>
      <c r="AA145" s="107">
        <f t="shared" si="33"/>
        <v>6159.799999999999</v>
      </c>
      <c r="AB145" s="65">
        <f t="shared" si="33"/>
        <v>282829.39999999997</v>
      </c>
      <c r="AC145" s="65">
        <f t="shared" si="33"/>
        <v>18054.7</v>
      </c>
      <c r="AD145" s="65">
        <f t="shared" si="33"/>
        <v>13616.6</v>
      </c>
      <c r="AE145" s="65">
        <f t="shared" si="33"/>
        <v>14230.8</v>
      </c>
      <c r="AF145" s="75"/>
      <c r="AG145" s="75"/>
    </row>
    <row r="146" spans="1:33" s="16" customFormat="1" ht="27.75" customHeight="1">
      <c r="A146" s="23" t="s">
        <v>1179</v>
      </c>
      <c r="B146" s="34" t="s">
        <v>215</v>
      </c>
      <c r="C146" s="31" t="s">
        <v>176</v>
      </c>
      <c r="D146" s="31" t="s">
        <v>177</v>
      </c>
      <c r="E146" s="31"/>
      <c r="F146" s="31"/>
      <c r="G146" s="77">
        <f>G147+G153+G184+G190+G178</f>
        <v>62684.200000000004</v>
      </c>
      <c r="H146" s="77">
        <f>H147+H153+H184+H190+H178</f>
        <v>75481.9</v>
      </c>
      <c r="I146" s="77">
        <f>I147+I153+I184+I190+I178</f>
        <v>72047.8</v>
      </c>
      <c r="J146" s="77">
        <f t="shared" si="31"/>
        <v>95.45043248778848</v>
      </c>
      <c r="K146" s="49"/>
      <c r="L146" s="50"/>
      <c r="M146" s="72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</row>
    <row r="147" spans="1:33" s="16" customFormat="1" ht="25.5">
      <c r="A147" s="23" t="s">
        <v>1180</v>
      </c>
      <c r="B147" s="35" t="s">
        <v>191</v>
      </c>
      <c r="C147" s="36" t="s">
        <v>176</v>
      </c>
      <c r="D147" s="36" t="s">
        <v>190</v>
      </c>
      <c r="E147" s="36"/>
      <c r="F147" s="36"/>
      <c r="G147" s="78">
        <f aca="true" t="shared" si="34" ref="G147:I151">G148</f>
        <v>2160.6</v>
      </c>
      <c r="H147" s="78">
        <f t="shared" si="34"/>
        <v>2160.6</v>
      </c>
      <c r="I147" s="78">
        <f t="shared" si="34"/>
        <v>2135.6</v>
      </c>
      <c r="J147" s="77">
        <f t="shared" si="31"/>
        <v>98.84291400536888</v>
      </c>
      <c r="K147" s="49"/>
      <c r="L147" s="50"/>
      <c r="M147" s="7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>
        <v>2087.4</v>
      </c>
      <c r="AA147" s="75"/>
      <c r="AB147" s="75"/>
      <c r="AC147" s="75"/>
      <c r="AD147" s="75"/>
      <c r="AE147" s="75"/>
      <c r="AF147" s="75"/>
      <c r="AG147" s="75"/>
    </row>
    <row r="148" spans="1:33" s="16" customFormat="1" ht="12.75">
      <c r="A148" s="23" t="s">
        <v>1181</v>
      </c>
      <c r="B148" s="24" t="s">
        <v>369</v>
      </c>
      <c r="C148" s="23" t="s">
        <v>176</v>
      </c>
      <c r="D148" s="23" t="s">
        <v>190</v>
      </c>
      <c r="E148" s="99" t="s">
        <v>312</v>
      </c>
      <c r="F148" s="23"/>
      <c r="G148" s="54">
        <f t="shared" si="34"/>
        <v>2160.6</v>
      </c>
      <c r="H148" s="54">
        <f t="shared" si="34"/>
        <v>2160.6</v>
      </c>
      <c r="I148" s="54">
        <f t="shared" si="34"/>
        <v>2135.6</v>
      </c>
      <c r="J148" s="77">
        <f t="shared" si="31"/>
        <v>98.84291400536888</v>
      </c>
      <c r="K148" s="49"/>
      <c r="L148" s="50"/>
      <c r="M148" s="72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</row>
    <row r="149" spans="1:33" s="16" customFormat="1" ht="12.75">
      <c r="A149" s="23" t="s">
        <v>1009</v>
      </c>
      <c r="B149" s="24" t="s">
        <v>219</v>
      </c>
      <c r="C149" s="23" t="s">
        <v>176</v>
      </c>
      <c r="D149" s="23" t="s">
        <v>190</v>
      </c>
      <c r="E149" s="99" t="s">
        <v>328</v>
      </c>
      <c r="F149" s="23"/>
      <c r="G149" s="54">
        <f aca="true" t="shared" si="35" ref="G149:I150">G150</f>
        <v>2160.6</v>
      </c>
      <c r="H149" s="54">
        <f t="shared" si="35"/>
        <v>2160.6</v>
      </c>
      <c r="I149" s="54">
        <f t="shared" si="35"/>
        <v>2135.6</v>
      </c>
      <c r="J149" s="77">
        <f t="shared" si="31"/>
        <v>98.84291400536888</v>
      </c>
      <c r="K149" s="49"/>
      <c r="L149" s="50"/>
      <c r="M149" s="72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</row>
    <row r="150" spans="1:33" s="16" customFormat="1" ht="38.25">
      <c r="A150" s="23" t="s">
        <v>666</v>
      </c>
      <c r="B150" s="24" t="s">
        <v>638</v>
      </c>
      <c r="C150" s="23" t="s">
        <v>176</v>
      </c>
      <c r="D150" s="23" t="s">
        <v>190</v>
      </c>
      <c r="E150" s="99" t="s">
        <v>368</v>
      </c>
      <c r="F150" s="23"/>
      <c r="G150" s="54">
        <f t="shared" si="35"/>
        <v>2160.6</v>
      </c>
      <c r="H150" s="54">
        <f t="shared" si="35"/>
        <v>2160.6</v>
      </c>
      <c r="I150" s="54">
        <f t="shared" si="35"/>
        <v>2135.6</v>
      </c>
      <c r="J150" s="77">
        <f t="shared" si="31"/>
        <v>98.84291400536888</v>
      </c>
      <c r="K150" s="49"/>
      <c r="L150" s="50">
        <v>1226.5</v>
      </c>
      <c r="M150" s="7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</row>
    <row r="151" spans="1:33" s="16" customFormat="1" ht="51">
      <c r="A151" s="23" t="s">
        <v>667</v>
      </c>
      <c r="B151" s="25" t="s">
        <v>181</v>
      </c>
      <c r="C151" s="23" t="s">
        <v>176</v>
      </c>
      <c r="D151" s="23" t="s">
        <v>190</v>
      </c>
      <c r="E151" s="99" t="s">
        <v>368</v>
      </c>
      <c r="F151" s="23" t="s">
        <v>179</v>
      </c>
      <c r="G151" s="54">
        <f t="shared" si="34"/>
        <v>2160.6</v>
      </c>
      <c r="H151" s="54">
        <f t="shared" si="34"/>
        <v>2160.6</v>
      </c>
      <c r="I151" s="54">
        <f t="shared" si="34"/>
        <v>2135.6</v>
      </c>
      <c r="J151" s="77">
        <f t="shared" si="31"/>
        <v>98.84291400536888</v>
      </c>
      <c r="K151" s="49"/>
      <c r="L151" s="50"/>
      <c r="M151" s="72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</row>
    <row r="152" spans="1:33" s="16" customFormat="1" ht="30.75" customHeight="1">
      <c r="A152" s="23" t="s">
        <v>423</v>
      </c>
      <c r="B152" s="25" t="s">
        <v>300</v>
      </c>
      <c r="C152" s="23" t="s">
        <v>176</v>
      </c>
      <c r="D152" s="23" t="s">
        <v>190</v>
      </c>
      <c r="E152" s="99" t="s">
        <v>368</v>
      </c>
      <c r="F152" s="23" t="s">
        <v>180</v>
      </c>
      <c r="G152" s="54">
        <v>2160.6</v>
      </c>
      <c r="H152" s="54">
        <v>2160.6</v>
      </c>
      <c r="I152" s="54">
        <v>2135.6</v>
      </c>
      <c r="J152" s="77">
        <f t="shared" si="31"/>
        <v>98.84291400536888</v>
      </c>
      <c r="K152" s="49"/>
      <c r="L152" s="50"/>
      <c r="M152" s="72"/>
      <c r="N152" s="75"/>
      <c r="O152" s="75"/>
      <c r="P152" s="75"/>
      <c r="Q152" s="75"/>
      <c r="R152" s="75"/>
      <c r="S152" s="75"/>
      <c r="T152" s="75"/>
      <c r="U152" s="75">
        <v>1876.6</v>
      </c>
      <c r="V152" s="75"/>
      <c r="W152" s="75"/>
      <c r="X152" s="75"/>
      <c r="Y152" s="75"/>
      <c r="Z152" s="75"/>
      <c r="AA152" s="75"/>
      <c r="AB152" s="75">
        <v>2160.6</v>
      </c>
      <c r="AC152" s="75"/>
      <c r="AD152" s="75"/>
      <c r="AE152" s="75"/>
      <c r="AF152" s="75"/>
      <c r="AG152" s="75"/>
    </row>
    <row r="153" spans="1:33" s="16" customFormat="1" ht="43.5" customHeight="1">
      <c r="A153" s="23" t="s">
        <v>424</v>
      </c>
      <c r="B153" s="35" t="s">
        <v>203</v>
      </c>
      <c r="C153" s="36" t="s">
        <v>176</v>
      </c>
      <c r="D153" s="36" t="s">
        <v>221</v>
      </c>
      <c r="E153" s="36"/>
      <c r="F153" s="36"/>
      <c r="G153" s="78">
        <f>G159+G166+G154</f>
        <v>30566.9</v>
      </c>
      <c r="H153" s="78">
        <f>H159+H166+H154</f>
        <v>40866.5</v>
      </c>
      <c r="I153" s="78">
        <f>I159+I166+I154</f>
        <v>37602.4</v>
      </c>
      <c r="J153" s="77">
        <f t="shared" si="31"/>
        <v>92.01277329842291</v>
      </c>
      <c r="K153" s="49"/>
      <c r="L153" s="50"/>
      <c r="M153" s="7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</row>
    <row r="154" spans="1:33" s="16" customFormat="1" ht="60" customHeight="1">
      <c r="A154" s="23" t="s">
        <v>425</v>
      </c>
      <c r="B154" s="24" t="s">
        <v>293</v>
      </c>
      <c r="C154" s="23" t="s">
        <v>176</v>
      </c>
      <c r="D154" s="23" t="s">
        <v>221</v>
      </c>
      <c r="E154" s="23" t="s">
        <v>363</v>
      </c>
      <c r="F154" s="36"/>
      <c r="G154" s="54">
        <f aca="true" t="shared" si="36" ref="G154:I156">G155</f>
        <v>0</v>
      </c>
      <c r="H154" s="54">
        <f t="shared" si="36"/>
        <v>4300</v>
      </c>
      <c r="I154" s="54">
        <f t="shared" si="36"/>
        <v>4298.8</v>
      </c>
      <c r="J154" s="77">
        <f t="shared" si="31"/>
        <v>99.97209302325581</v>
      </c>
      <c r="K154" s="49"/>
      <c r="L154" s="50"/>
      <c r="M154" s="72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</row>
    <row r="155" spans="1:33" s="16" customFormat="1" ht="27" customHeight="1">
      <c r="A155" s="23" t="s">
        <v>426</v>
      </c>
      <c r="B155" s="24" t="s">
        <v>402</v>
      </c>
      <c r="C155" s="23" t="s">
        <v>176</v>
      </c>
      <c r="D155" s="23" t="s">
        <v>221</v>
      </c>
      <c r="E155" s="23" t="s">
        <v>372</v>
      </c>
      <c r="F155" s="36"/>
      <c r="G155" s="54">
        <f t="shared" si="36"/>
        <v>0</v>
      </c>
      <c r="H155" s="54">
        <f t="shared" si="36"/>
        <v>4300</v>
      </c>
      <c r="I155" s="54">
        <f t="shared" si="36"/>
        <v>4298.8</v>
      </c>
      <c r="J155" s="77">
        <f t="shared" si="31"/>
        <v>99.97209302325581</v>
      </c>
      <c r="K155" s="49"/>
      <c r="L155" s="50"/>
      <c r="M155" s="72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</row>
    <row r="156" spans="1:33" s="16" customFormat="1" ht="93" customHeight="1">
      <c r="A156" s="23" t="s">
        <v>427</v>
      </c>
      <c r="B156" s="24" t="s">
        <v>1336</v>
      </c>
      <c r="C156" s="23" t="s">
        <v>176</v>
      </c>
      <c r="D156" s="23" t="s">
        <v>221</v>
      </c>
      <c r="E156" s="23" t="s">
        <v>1335</v>
      </c>
      <c r="F156" s="36"/>
      <c r="G156" s="54">
        <f>G157</f>
        <v>0</v>
      </c>
      <c r="H156" s="54">
        <f t="shared" si="36"/>
        <v>4300</v>
      </c>
      <c r="I156" s="54">
        <f t="shared" si="36"/>
        <v>4298.8</v>
      </c>
      <c r="J156" s="77">
        <f t="shared" si="31"/>
        <v>99.97209302325581</v>
      </c>
      <c r="K156" s="49"/>
      <c r="L156" s="50"/>
      <c r="M156" s="72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</row>
    <row r="157" spans="1:33" s="16" customFormat="1" ht="43.5" customHeight="1">
      <c r="A157" s="23" t="s">
        <v>112</v>
      </c>
      <c r="B157" s="24" t="s">
        <v>144</v>
      </c>
      <c r="C157" s="23" t="s">
        <v>176</v>
      </c>
      <c r="D157" s="23" t="s">
        <v>221</v>
      </c>
      <c r="E157" s="23" t="s">
        <v>1335</v>
      </c>
      <c r="F157" s="23" t="s">
        <v>109</v>
      </c>
      <c r="G157" s="58">
        <f>G158</f>
        <v>0</v>
      </c>
      <c r="H157" s="58">
        <f>H158</f>
        <v>4300</v>
      </c>
      <c r="I157" s="58">
        <f>I158</f>
        <v>4298.8</v>
      </c>
      <c r="J157" s="77">
        <f t="shared" si="31"/>
        <v>99.97209302325581</v>
      </c>
      <c r="K157" s="49"/>
      <c r="L157" s="50"/>
      <c r="M157" s="72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</row>
    <row r="158" spans="1:33" s="16" customFormat="1" ht="43.5" customHeight="1">
      <c r="A158" s="23" t="s">
        <v>600</v>
      </c>
      <c r="B158" s="24" t="s">
        <v>145</v>
      </c>
      <c r="C158" s="23" t="s">
        <v>176</v>
      </c>
      <c r="D158" s="23" t="s">
        <v>221</v>
      </c>
      <c r="E158" s="23" t="s">
        <v>1335</v>
      </c>
      <c r="F158" s="23" t="s">
        <v>102</v>
      </c>
      <c r="G158" s="54">
        <v>0</v>
      </c>
      <c r="H158" s="54">
        <f>1900+2400</f>
        <v>4300</v>
      </c>
      <c r="I158" s="54">
        <v>4298.8</v>
      </c>
      <c r="J158" s="77">
        <f t="shared" si="31"/>
        <v>99.97209302325581</v>
      </c>
      <c r="K158" s="49"/>
      <c r="L158" s="50"/>
      <c r="M158" s="72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</row>
    <row r="159" spans="1:33" s="16" customFormat="1" ht="45" customHeight="1">
      <c r="A159" s="23" t="s">
        <v>601</v>
      </c>
      <c r="B159" s="22" t="s">
        <v>292</v>
      </c>
      <c r="C159" s="23" t="s">
        <v>176</v>
      </c>
      <c r="D159" s="23" t="s">
        <v>221</v>
      </c>
      <c r="E159" s="23" t="s">
        <v>327</v>
      </c>
      <c r="F159" s="23"/>
      <c r="G159" s="58">
        <f aca="true" t="shared" si="37" ref="G159:I160">G160</f>
        <v>2814.6</v>
      </c>
      <c r="H159" s="58">
        <f t="shared" si="37"/>
        <v>3050.4</v>
      </c>
      <c r="I159" s="58">
        <f t="shared" si="37"/>
        <v>3050.4</v>
      </c>
      <c r="J159" s="77">
        <f t="shared" si="31"/>
        <v>100</v>
      </c>
      <c r="K159" s="49"/>
      <c r="L159" s="50"/>
      <c r="M159" s="72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</row>
    <row r="160" spans="1:33" s="16" customFormat="1" ht="31.5" customHeight="1">
      <c r="A160" s="23" t="s">
        <v>602</v>
      </c>
      <c r="B160" s="22" t="s">
        <v>411</v>
      </c>
      <c r="C160" s="23" t="s">
        <v>176</v>
      </c>
      <c r="D160" s="23" t="s">
        <v>221</v>
      </c>
      <c r="E160" s="23" t="s">
        <v>348</v>
      </c>
      <c r="F160" s="23"/>
      <c r="G160" s="58">
        <f>G161</f>
        <v>2814.6</v>
      </c>
      <c r="H160" s="58">
        <f>H161</f>
        <v>3050.4</v>
      </c>
      <c r="I160" s="58">
        <f t="shared" si="37"/>
        <v>3050.4</v>
      </c>
      <c r="J160" s="77">
        <f t="shared" si="31"/>
        <v>100</v>
      </c>
      <c r="K160" s="49"/>
      <c r="L160" s="50">
        <v>3252.6</v>
      </c>
      <c r="M160" s="72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</row>
    <row r="161" spans="1:33" s="15" customFormat="1" ht="77.25" customHeight="1">
      <c r="A161" s="23" t="s">
        <v>603</v>
      </c>
      <c r="B161" s="22" t="s">
        <v>860</v>
      </c>
      <c r="C161" s="23" t="s">
        <v>176</v>
      </c>
      <c r="D161" s="23" t="s">
        <v>221</v>
      </c>
      <c r="E161" s="23" t="s">
        <v>515</v>
      </c>
      <c r="F161" s="23"/>
      <c r="G161" s="58">
        <f>G162+G164</f>
        <v>2814.6</v>
      </c>
      <c r="H161" s="58">
        <f>H162+H164</f>
        <v>3050.4</v>
      </c>
      <c r="I161" s="58">
        <f>I162+I164</f>
        <v>3050.4</v>
      </c>
      <c r="J161" s="77">
        <f t="shared" si="31"/>
        <v>100</v>
      </c>
      <c r="K161" s="47"/>
      <c r="L161" s="48"/>
      <c r="M161" s="86"/>
      <c r="N161" s="83"/>
      <c r="O161" s="83"/>
      <c r="P161" s="83"/>
      <c r="Q161" s="83"/>
      <c r="R161" s="83"/>
      <c r="S161" s="83"/>
      <c r="T161" s="83"/>
      <c r="U161" s="83">
        <v>2304.2</v>
      </c>
      <c r="V161" s="83"/>
      <c r="W161" s="83"/>
      <c r="X161" s="83"/>
      <c r="Y161" s="83"/>
      <c r="Z161" s="83">
        <v>2599.8</v>
      </c>
      <c r="AA161" s="83"/>
      <c r="AB161" s="83">
        <v>2814.6</v>
      </c>
      <c r="AC161" s="83"/>
      <c r="AD161" s="83"/>
      <c r="AE161" s="83"/>
      <c r="AF161" s="83"/>
      <c r="AG161" s="83"/>
    </row>
    <row r="162" spans="1:33" s="16" customFormat="1" ht="63.75" customHeight="1">
      <c r="A162" s="23" t="s">
        <v>1010</v>
      </c>
      <c r="B162" s="25" t="s">
        <v>181</v>
      </c>
      <c r="C162" s="23" t="s">
        <v>176</v>
      </c>
      <c r="D162" s="23" t="s">
        <v>221</v>
      </c>
      <c r="E162" s="23" t="s">
        <v>515</v>
      </c>
      <c r="F162" s="23" t="s">
        <v>179</v>
      </c>
      <c r="G162" s="58">
        <f>G163</f>
        <v>2810.4</v>
      </c>
      <c r="H162" s="58">
        <f>H163</f>
        <v>3010.4</v>
      </c>
      <c r="I162" s="58">
        <f>I163</f>
        <v>3010.4</v>
      </c>
      <c r="J162" s="77">
        <f t="shared" si="31"/>
        <v>100</v>
      </c>
      <c r="K162" s="49"/>
      <c r="L162" s="50"/>
      <c r="M162" s="72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</row>
    <row r="163" spans="1:33" s="16" customFormat="1" ht="40.5" customHeight="1">
      <c r="A163" s="23" t="s">
        <v>1011</v>
      </c>
      <c r="B163" s="25" t="s">
        <v>300</v>
      </c>
      <c r="C163" s="23" t="s">
        <v>176</v>
      </c>
      <c r="D163" s="23" t="s">
        <v>221</v>
      </c>
      <c r="E163" s="23" t="s">
        <v>515</v>
      </c>
      <c r="F163" s="23" t="s">
        <v>180</v>
      </c>
      <c r="G163" s="58">
        <v>2810.4</v>
      </c>
      <c r="H163" s="58">
        <f>2810.4+200</f>
        <v>3010.4</v>
      </c>
      <c r="I163" s="58">
        <v>3010.4</v>
      </c>
      <c r="J163" s="77">
        <f t="shared" si="31"/>
        <v>100</v>
      </c>
      <c r="K163" s="49"/>
      <c r="L163" s="50"/>
      <c r="M163" s="72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>
        <v>200</v>
      </c>
      <c r="AG163" s="75"/>
    </row>
    <row r="164" spans="1:33" s="16" customFormat="1" ht="35.25" customHeight="1">
      <c r="A164" s="23" t="s">
        <v>1012</v>
      </c>
      <c r="B164" s="22" t="s">
        <v>144</v>
      </c>
      <c r="C164" s="23" t="s">
        <v>176</v>
      </c>
      <c r="D164" s="23" t="s">
        <v>221</v>
      </c>
      <c r="E164" s="23" t="s">
        <v>515</v>
      </c>
      <c r="F164" s="23" t="s">
        <v>109</v>
      </c>
      <c r="G164" s="58">
        <f>G165</f>
        <v>4.2</v>
      </c>
      <c r="H164" s="58">
        <f>H165</f>
        <v>40</v>
      </c>
      <c r="I164" s="58">
        <f>I165</f>
        <v>40</v>
      </c>
      <c r="J164" s="77">
        <f t="shared" si="31"/>
        <v>100</v>
      </c>
      <c r="K164" s="49"/>
      <c r="L164" s="50"/>
      <c r="M164" s="72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</row>
    <row r="165" spans="1:33" s="16" customFormat="1" ht="33" customHeight="1">
      <c r="A165" s="23" t="s">
        <v>34</v>
      </c>
      <c r="B165" s="22" t="s">
        <v>145</v>
      </c>
      <c r="C165" s="23" t="s">
        <v>176</v>
      </c>
      <c r="D165" s="23" t="s">
        <v>221</v>
      </c>
      <c r="E165" s="23" t="s">
        <v>515</v>
      </c>
      <c r="F165" s="23" t="s">
        <v>102</v>
      </c>
      <c r="G165" s="58">
        <v>4.2</v>
      </c>
      <c r="H165" s="58">
        <f>4.2+0.8+35</f>
        <v>40</v>
      </c>
      <c r="I165" s="58">
        <v>40</v>
      </c>
      <c r="J165" s="77">
        <f t="shared" si="31"/>
        <v>100</v>
      </c>
      <c r="K165" s="49"/>
      <c r="L165" s="50"/>
      <c r="M165" s="72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>
        <v>20</v>
      </c>
      <c r="Y165" s="75"/>
      <c r="Z165" s="75"/>
      <c r="AA165" s="75"/>
      <c r="AB165" s="75"/>
      <c r="AC165" s="75"/>
      <c r="AD165" s="75"/>
      <c r="AE165" s="75">
        <v>0.8</v>
      </c>
      <c r="AF165" s="75"/>
      <c r="AG165" s="75"/>
    </row>
    <row r="166" spans="1:33" s="16" customFormat="1" ht="25.5">
      <c r="A166" s="23" t="s">
        <v>35</v>
      </c>
      <c r="B166" s="24" t="s">
        <v>218</v>
      </c>
      <c r="C166" s="23" t="s">
        <v>176</v>
      </c>
      <c r="D166" s="23" t="s">
        <v>221</v>
      </c>
      <c r="E166" s="99" t="s">
        <v>312</v>
      </c>
      <c r="F166" s="23"/>
      <c r="G166" s="54">
        <f>G167</f>
        <v>27752.300000000003</v>
      </c>
      <c r="H166" s="54">
        <f>H167</f>
        <v>33516.1</v>
      </c>
      <c r="I166" s="54">
        <f>I167</f>
        <v>30253.199999999997</v>
      </c>
      <c r="J166" s="77">
        <f t="shared" si="31"/>
        <v>90.26467876632424</v>
      </c>
      <c r="K166" s="49"/>
      <c r="L166" s="50"/>
      <c r="M166" s="72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</row>
    <row r="167" spans="1:33" s="16" customFormat="1" ht="26.25" customHeight="1">
      <c r="A167" s="23" t="s">
        <v>36</v>
      </c>
      <c r="B167" s="24" t="s">
        <v>219</v>
      </c>
      <c r="C167" s="23" t="s">
        <v>176</v>
      </c>
      <c r="D167" s="23" t="s">
        <v>221</v>
      </c>
      <c r="E167" s="99" t="s">
        <v>328</v>
      </c>
      <c r="F167" s="23"/>
      <c r="G167" s="54">
        <f>G168+G175</f>
        <v>27752.300000000003</v>
      </c>
      <c r="H167" s="54">
        <f>H168+H175</f>
        <v>33516.1</v>
      </c>
      <c r="I167" s="54">
        <f>I168+I175</f>
        <v>30253.199999999997</v>
      </c>
      <c r="J167" s="77">
        <f t="shared" si="31"/>
        <v>90.26467876632424</v>
      </c>
      <c r="K167" s="49"/>
      <c r="L167" s="50"/>
      <c r="M167" s="72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</row>
    <row r="168" spans="1:33" s="16" customFormat="1" ht="42.75" customHeight="1">
      <c r="A168" s="23" t="s">
        <v>37</v>
      </c>
      <c r="B168" s="24" t="s">
        <v>220</v>
      </c>
      <c r="C168" s="23" t="s">
        <v>176</v>
      </c>
      <c r="D168" s="23" t="s">
        <v>221</v>
      </c>
      <c r="E168" s="99" t="s">
        <v>329</v>
      </c>
      <c r="F168" s="23"/>
      <c r="G168" s="54">
        <f>G169+G171+G173</f>
        <v>27752.300000000003</v>
      </c>
      <c r="H168" s="54">
        <f>H169+H171+H173</f>
        <v>31159.999999999996</v>
      </c>
      <c r="I168" s="54">
        <f>I169+I171+I173</f>
        <v>27897.1</v>
      </c>
      <c r="J168" s="77">
        <f t="shared" si="31"/>
        <v>89.52856225930681</v>
      </c>
      <c r="K168" s="49"/>
      <c r="L168" s="50">
        <v>17411.2</v>
      </c>
      <c r="M168" s="72"/>
      <c r="N168" s="75"/>
      <c r="O168" s="75"/>
      <c r="P168" s="75"/>
      <c r="Q168" s="75"/>
      <c r="R168" s="75"/>
      <c r="S168" s="75"/>
      <c r="T168" s="75"/>
      <c r="U168" s="75">
        <v>21860.2</v>
      </c>
      <c r="V168" s="75"/>
      <c r="W168" s="75"/>
      <c r="X168" s="75"/>
      <c r="Y168" s="75"/>
      <c r="Z168" s="75">
        <v>25518.2</v>
      </c>
      <c r="AA168" s="75"/>
      <c r="AB168" s="75">
        <v>27752.3</v>
      </c>
      <c r="AC168" s="75"/>
      <c r="AD168" s="75"/>
      <c r="AE168" s="75"/>
      <c r="AF168" s="75"/>
      <c r="AG168" s="75"/>
    </row>
    <row r="169" spans="1:33" s="16" customFormat="1" ht="54.75" customHeight="1">
      <c r="A169" s="23" t="s">
        <v>228</v>
      </c>
      <c r="B169" s="25" t="s">
        <v>181</v>
      </c>
      <c r="C169" s="23" t="s">
        <v>176</v>
      </c>
      <c r="D169" s="23" t="s">
        <v>221</v>
      </c>
      <c r="E169" s="99" t="s">
        <v>329</v>
      </c>
      <c r="F169" s="23" t="s">
        <v>179</v>
      </c>
      <c r="G169" s="54">
        <f>G170</f>
        <v>21416.7</v>
      </c>
      <c r="H169" s="54">
        <f>H170</f>
        <v>21416.8</v>
      </c>
      <c r="I169" s="54">
        <f>I170</f>
        <v>21412.5</v>
      </c>
      <c r="J169" s="77">
        <f t="shared" si="31"/>
        <v>99.97992230398566</v>
      </c>
      <c r="K169" s="56"/>
      <c r="L169" s="50"/>
      <c r="M169" s="72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</row>
    <row r="170" spans="1:33" s="16" customFormat="1" ht="25.5">
      <c r="A170" s="23" t="s">
        <v>229</v>
      </c>
      <c r="B170" s="25" t="s">
        <v>300</v>
      </c>
      <c r="C170" s="23" t="s">
        <v>176</v>
      </c>
      <c r="D170" s="23" t="s">
        <v>221</v>
      </c>
      <c r="E170" s="99" t="s">
        <v>329</v>
      </c>
      <c r="F170" s="23" t="s">
        <v>180</v>
      </c>
      <c r="G170" s="58">
        <v>21416.7</v>
      </c>
      <c r="H170" s="58">
        <v>21416.8</v>
      </c>
      <c r="I170" s="58">
        <v>21412.5</v>
      </c>
      <c r="J170" s="77">
        <f t="shared" si="31"/>
        <v>99.97992230398566</v>
      </c>
      <c r="K170" s="57"/>
      <c r="L170" s="50"/>
      <c r="M170" s="72"/>
      <c r="N170" s="75">
        <f>-112.7+(-125.3)-451.2+(-98.9)</f>
        <v>-788.1</v>
      </c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</row>
    <row r="171" spans="1:33" s="16" customFormat="1" ht="30.75" customHeight="1">
      <c r="A171" s="23" t="s">
        <v>230</v>
      </c>
      <c r="B171" s="22" t="s">
        <v>144</v>
      </c>
      <c r="C171" s="23" t="s">
        <v>176</v>
      </c>
      <c r="D171" s="23" t="s">
        <v>221</v>
      </c>
      <c r="E171" s="99" t="s">
        <v>329</v>
      </c>
      <c r="F171" s="23" t="s">
        <v>109</v>
      </c>
      <c r="G171" s="54">
        <f>G172</f>
        <v>6035.2</v>
      </c>
      <c r="H171" s="54">
        <f>H172</f>
        <v>9054.4</v>
      </c>
      <c r="I171" s="54">
        <f>I172</f>
        <v>6281.3</v>
      </c>
      <c r="J171" s="77">
        <f t="shared" si="31"/>
        <v>69.37290157271603</v>
      </c>
      <c r="K171" s="57"/>
      <c r="L171" s="50"/>
      <c r="M171" s="72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</row>
    <row r="172" spans="1:33" s="16" customFormat="1" ht="30" customHeight="1">
      <c r="A172" s="23" t="s">
        <v>668</v>
      </c>
      <c r="B172" s="22" t="s">
        <v>145</v>
      </c>
      <c r="C172" s="23" t="s">
        <v>176</v>
      </c>
      <c r="D172" s="23" t="s">
        <v>221</v>
      </c>
      <c r="E172" s="99" t="s">
        <v>329</v>
      </c>
      <c r="F172" s="23" t="s">
        <v>102</v>
      </c>
      <c r="G172" s="58">
        <v>6035.2</v>
      </c>
      <c r="H172" s="58">
        <f>6035.2+1800+236.1+50+1321.5-388.4</f>
        <v>9054.4</v>
      </c>
      <c r="I172" s="58">
        <v>6281.3</v>
      </c>
      <c r="J172" s="77">
        <f t="shared" si="31"/>
        <v>69.37290157271603</v>
      </c>
      <c r="K172" s="57"/>
      <c r="L172" s="50"/>
      <c r="M172" s="72"/>
      <c r="N172" s="75">
        <f>SUM(-100+989-97.9-126.6)</f>
        <v>664.5</v>
      </c>
      <c r="O172" s="75"/>
      <c r="P172" s="75"/>
      <c r="Q172" s="75"/>
      <c r="R172" s="75"/>
      <c r="S172" s="75"/>
      <c r="T172" s="75"/>
      <c r="U172" s="75"/>
      <c r="V172" s="75"/>
      <c r="W172" s="75"/>
      <c r="X172" s="75">
        <f>-26-4.3-150</f>
        <v>-180.3</v>
      </c>
      <c r="Y172" s="75"/>
      <c r="Z172" s="75"/>
      <c r="AA172" s="75"/>
      <c r="AB172" s="75"/>
      <c r="AC172" s="75"/>
      <c r="AD172" s="75"/>
      <c r="AE172" s="75">
        <f>1800+236.1</f>
        <v>2036.1</v>
      </c>
      <c r="AF172" s="75">
        <v>-388.4</v>
      </c>
      <c r="AG172" s="75"/>
    </row>
    <row r="173" spans="1:33" s="16" customFormat="1" ht="18.75" customHeight="1">
      <c r="A173" s="23" t="s">
        <v>669</v>
      </c>
      <c r="B173" s="25" t="s">
        <v>198</v>
      </c>
      <c r="C173" s="23" t="s">
        <v>176</v>
      </c>
      <c r="D173" s="23" t="s">
        <v>221</v>
      </c>
      <c r="E173" s="99" t="s">
        <v>329</v>
      </c>
      <c r="F173" s="23" t="s">
        <v>201</v>
      </c>
      <c r="G173" s="58">
        <f>SUM(G174)</f>
        <v>300.4</v>
      </c>
      <c r="H173" s="58">
        <f>SUM(H174)</f>
        <v>688.8</v>
      </c>
      <c r="I173" s="58">
        <f>SUM(I174)</f>
        <v>203.3</v>
      </c>
      <c r="J173" s="77">
        <f t="shared" si="31"/>
        <v>29.5150987224158</v>
      </c>
      <c r="K173" s="57"/>
      <c r="L173" s="50"/>
      <c r="M173" s="72"/>
      <c r="N173" s="43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</row>
    <row r="174" spans="1:33" s="16" customFormat="1" ht="18.75" customHeight="1">
      <c r="A174" s="23" t="s">
        <v>670</v>
      </c>
      <c r="B174" s="25" t="s">
        <v>199</v>
      </c>
      <c r="C174" s="23" t="s">
        <v>176</v>
      </c>
      <c r="D174" s="23" t="s">
        <v>221</v>
      </c>
      <c r="E174" s="99" t="s">
        <v>329</v>
      </c>
      <c r="F174" s="23" t="s">
        <v>202</v>
      </c>
      <c r="G174" s="58">
        <v>300.4</v>
      </c>
      <c r="H174" s="58">
        <f>300.4+388.4</f>
        <v>688.8</v>
      </c>
      <c r="I174" s="58">
        <v>203.3</v>
      </c>
      <c r="J174" s="77">
        <f t="shared" si="31"/>
        <v>29.5150987224158</v>
      </c>
      <c r="K174" s="57"/>
      <c r="L174" s="50"/>
      <c r="M174" s="72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>
        <f>26+150</f>
        <v>176</v>
      </c>
      <c r="Y174" s="75"/>
      <c r="Z174" s="75"/>
      <c r="AA174" s="75"/>
      <c r="AB174" s="75"/>
      <c r="AC174" s="75"/>
      <c r="AD174" s="75"/>
      <c r="AE174" s="75"/>
      <c r="AF174" s="75">
        <v>388.4</v>
      </c>
      <c r="AG174" s="75"/>
    </row>
    <row r="175" spans="1:33" s="16" customFormat="1" ht="63.75" customHeight="1">
      <c r="A175" s="23" t="s">
        <v>38</v>
      </c>
      <c r="B175" s="22" t="s">
        <v>1431</v>
      </c>
      <c r="C175" s="23" t="s">
        <v>176</v>
      </c>
      <c r="D175" s="23" t="s">
        <v>221</v>
      </c>
      <c r="E175" s="99" t="s">
        <v>1432</v>
      </c>
      <c r="F175" s="23"/>
      <c r="G175" s="58">
        <f>SUM(G176)</f>
        <v>0</v>
      </c>
      <c r="H175" s="58">
        <f>SUM(H176)</f>
        <v>2356.1</v>
      </c>
      <c r="I175" s="58">
        <f>SUM(I176)</f>
        <v>2356.1</v>
      </c>
      <c r="J175" s="77">
        <f t="shared" si="31"/>
        <v>100</v>
      </c>
      <c r="K175" s="57"/>
      <c r="L175" s="50"/>
      <c r="M175" s="72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</row>
    <row r="176" spans="1:33" s="16" customFormat="1" ht="62.25" customHeight="1">
      <c r="A176" s="23" t="s">
        <v>39</v>
      </c>
      <c r="B176" s="25" t="s">
        <v>181</v>
      </c>
      <c r="C176" s="23" t="s">
        <v>176</v>
      </c>
      <c r="D176" s="23" t="s">
        <v>221</v>
      </c>
      <c r="E176" s="99" t="s">
        <v>1432</v>
      </c>
      <c r="F176" s="23" t="s">
        <v>179</v>
      </c>
      <c r="G176" s="54">
        <f>G177</f>
        <v>0</v>
      </c>
      <c r="H176" s="54">
        <f>H177</f>
        <v>2356.1</v>
      </c>
      <c r="I176" s="54">
        <f>I177</f>
        <v>2356.1</v>
      </c>
      <c r="J176" s="77">
        <f t="shared" si="31"/>
        <v>100</v>
      </c>
      <c r="K176" s="57"/>
      <c r="L176" s="50"/>
      <c r="M176" s="72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</row>
    <row r="177" spans="1:33" s="16" customFormat="1" ht="38.25" customHeight="1">
      <c r="A177" s="23" t="s">
        <v>40</v>
      </c>
      <c r="B177" s="25" t="s">
        <v>300</v>
      </c>
      <c r="C177" s="23" t="s">
        <v>176</v>
      </c>
      <c r="D177" s="23" t="s">
        <v>221</v>
      </c>
      <c r="E177" s="99" t="s">
        <v>1432</v>
      </c>
      <c r="F177" s="23" t="s">
        <v>180</v>
      </c>
      <c r="G177" s="58">
        <v>0</v>
      </c>
      <c r="H177" s="58">
        <f>606.1+1750</f>
        <v>2356.1</v>
      </c>
      <c r="I177" s="58">
        <v>2356.1</v>
      </c>
      <c r="J177" s="77">
        <f t="shared" si="31"/>
        <v>100</v>
      </c>
      <c r="K177" s="57"/>
      <c r="L177" s="50"/>
      <c r="M177" s="72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>
        <v>1750</v>
      </c>
    </row>
    <row r="178" spans="1:33" s="16" customFormat="1" ht="22.5" customHeight="1">
      <c r="A178" s="23" t="s">
        <v>41</v>
      </c>
      <c r="B178" s="38" t="s">
        <v>459</v>
      </c>
      <c r="C178" s="36" t="s">
        <v>176</v>
      </c>
      <c r="D178" s="36" t="s">
        <v>460</v>
      </c>
      <c r="E178" s="101"/>
      <c r="F178" s="36"/>
      <c r="G178" s="80">
        <f aca="true" t="shared" si="38" ref="G178:I182">G179</f>
        <v>1.4</v>
      </c>
      <c r="H178" s="80">
        <f t="shared" si="38"/>
        <v>0</v>
      </c>
      <c r="I178" s="80">
        <f t="shared" si="38"/>
        <v>0</v>
      </c>
      <c r="J178" s="77">
        <v>0</v>
      </c>
      <c r="K178" s="49"/>
      <c r="L178" s="50"/>
      <c r="M178" s="72"/>
      <c r="N178" s="75"/>
      <c r="O178" s="75"/>
      <c r="P178" s="75"/>
      <c r="Q178" s="75"/>
      <c r="R178" s="75"/>
      <c r="S178" s="75"/>
      <c r="T178" s="75">
        <v>5.4</v>
      </c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</row>
    <row r="179" spans="1:33" s="16" customFormat="1" ht="30" customHeight="1">
      <c r="A179" s="23" t="s">
        <v>42</v>
      </c>
      <c r="B179" s="24" t="s">
        <v>218</v>
      </c>
      <c r="C179" s="23" t="s">
        <v>176</v>
      </c>
      <c r="D179" s="23" t="s">
        <v>460</v>
      </c>
      <c r="E179" s="99" t="s">
        <v>312</v>
      </c>
      <c r="F179" s="23"/>
      <c r="G179" s="58">
        <f t="shared" si="38"/>
        <v>1.4</v>
      </c>
      <c r="H179" s="58">
        <f t="shared" si="38"/>
        <v>0</v>
      </c>
      <c r="I179" s="58">
        <f t="shared" si="38"/>
        <v>0</v>
      </c>
      <c r="J179" s="77">
        <v>0</v>
      </c>
      <c r="K179" s="49"/>
      <c r="L179" s="50"/>
      <c r="M179" s="72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</row>
    <row r="180" spans="1:33" s="16" customFormat="1" ht="30" customHeight="1">
      <c r="A180" s="23" t="s">
        <v>43</v>
      </c>
      <c r="B180" s="24" t="s">
        <v>219</v>
      </c>
      <c r="C180" s="23" t="s">
        <v>176</v>
      </c>
      <c r="D180" s="23" t="s">
        <v>460</v>
      </c>
      <c r="E180" s="99" t="s">
        <v>328</v>
      </c>
      <c r="F180" s="23"/>
      <c r="G180" s="58">
        <f t="shared" si="38"/>
        <v>1.4</v>
      </c>
      <c r="H180" s="58">
        <f t="shared" si="38"/>
        <v>0</v>
      </c>
      <c r="I180" s="58">
        <f t="shared" si="38"/>
        <v>0</v>
      </c>
      <c r="J180" s="77">
        <v>0</v>
      </c>
      <c r="K180" s="49"/>
      <c r="L180" s="50"/>
      <c r="M180" s="72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</row>
    <row r="181" spans="1:33" s="16" customFormat="1" ht="63" customHeight="1">
      <c r="A181" s="23" t="s">
        <v>1013</v>
      </c>
      <c r="B181" s="22" t="s">
        <v>639</v>
      </c>
      <c r="C181" s="23" t="s">
        <v>176</v>
      </c>
      <c r="D181" s="23" t="s">
        <v>460</v>
      </c>
      <c r="E181" s="99" t="s">
        <v>461</v>
      </c>
      <c r="F181" s="23"/>
      <c r="G181" s="58">
        <f t="shared" si="38"/>
        <v>1.4</v>
      </c>
      <c r="H181" s="58">
        <f t="shared" si="38"/>
        <v>0</v>
      </c>
      <c r="I181" s="58">
        <f t="shared" si="38"/>
        <v>0</v>
      </c>
      <c r="J181" s="77">
        <v>0</v>
      </c>
      <c r="K181" s="49">
        <v>1.8</v>
      </c>
      <c r="L181" s="50"/>
      <c r="M181" s="72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</row>
    <row r="182" spans="1:33" s="16" customFormat="1" ht="30" customHeight="1">
      <c r="A182" s="23" t="s">
        <v>1014</v>
      </c>
      <c r="B182" s="22" t="s">
        <v>144</v>
      </c>
      <c r="C182" s="23" t="s">
        <v>176</v>
      </c>
      <c r="D182" s="23" t="s">
        <v>460</v>
      </c>
      <c r="E182" s="99" t="s">
        <v>461</v>
      </c>
      <c r="F182" s="23" t="s">
        <v>109</v>
      </c>
      <c r="G182" s="58">
        <f t="shared" si="38"/>
        <v>1.4</v>
      </c>
      <c r="H182" s="58">
        <f t="shared" si="38"/>
        <v>0</v>
      </c>
      <c r="I182" s="58">
        <f t="shared" si="38"/>
        <v>0</v>
      </c>
      <c r="J182" s="77">
        <v>0</v>
      </c>
      <c r="K182" s="49"/>
      <c r="L182" s="50"/>
      <c r="M182" s="72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</row>
    <row r="183" spans="1:33" s="16" customFormat="1" ht="30" customHeight="1">
      <c r="A183" s="23" t="s">
        <v>1015</v>
      </c>
      <c r="B183" s="22" t="s">
        <v>145</v>
      </c>
      <c r="C183" s="23" t="s">
        <v>176</v>
      </c>
      <c r="D183" s="23" t="s">
        <v>460</v>
      </c>
      <c r="E183" s="99" t="s">
        <v>461</v>
      </c>
      <c r="F183" s="23" t="s">
        <v>102</v>
      </c>
      <c r="G183" s="58">
        <v>1.4</v>
      </c>
      <c r="H183" s="58">
        <f>1.4-0.9-0.5</f>
        <v>0</v>
      </c>
      <c r="I183" s="58">
        <v>0</v>
      </c>
      <c r="J183" s="77">
        <v>0</v>
      </c>
      <c r="K183" s="58"/>
      <c r="L183" s="50"/>
      <c r="M183" s="72">
        <v>3</v>
      </c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>
        <v>-0.7</v>
      </c>
      <c r="Z183" s="75"/>
      <c r="AA183" s="75">
        <v>55</v>
      </c>
      <c r="AB183" s="75"/>
      <c r="AC183" s="75">
        <v>1.4</v>
      </c>
      <c r="AD183" s="75">
        <v>-0.9</v>
      </c>
      <c r="AE183" s="75"/>
      <c r="AF183" s="75"/>
      <c r="AG183" s="75">
        <v>-0.5</v>
      </c>
    </row>
    <row r="184" spans="1:33" s="16" customFormat="1" ht="21" customHeight="1">
      <c r="A184" s="23" t="s">
        <v>874</v>
      </c>
      <c r="B184" s="35" t="s">
        <v>222</v>
      </c>
      <c r="C184" s="36" t="s">
        <v>176</v>
      </c>
      <c r="D184" s="36" t="s">
        <v>225</v>
      </c>
      <c r="E184" s="101"/>
      <c r="F184" s="36"/>
      <c r="G184" s="78">
        <f aca="true" t="shared" si="39" ref="G184:I185">G185</f>
        <v>200</v>
      </c>
      <c r="H184" s="78">
        <f t="shared" si="39"/>
        <v>0</v>
      </c>
      <c r="I184" s="78">
        <f t="shared" si="39"/>
        <v>0</v>
      </c>
      <c r="J184" s="77">
        <v>0</v>
      </c>
      <c r="K184" s="49"/>
      <c r="L184" s="50"/>
      <c r="M184" s="72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>
        <v>200</v>
      </c>
      <c r="AA184" s="75"/>
      <c r="AB184" s="75"/>
      <c r="AC184" s="75"/>
      <c r="AD184" s="75"/>
      <c r="AE184" s="75"/>
      <c r="AF184" s="75"/>
      <c r="AG184" s="75"/>
    </row>
    <row r="185" spans="1:33" s="16" customFormat="1" ht="25.5">
      <c r="A185" s="23" t="s">
        <v>875</v>
      </c>
      <c r="B185" s="24" t="s">
        <v>218</v>
      </c>
      <c r="C185" s="23" t="s">
        <v>176</v>
      </c>
      <c r="D185" s="23" t="s">
        <v>225</v>
      </c>
      <c r="E185" s="99" t="s">
        <v>312</v>
      </c>
      <c r="F185" s="23"/>
      <c r="G185" s="54">
        <f t="shared" si="39"/>
        <v>200</v>
      </c>
      <c r="H185" s="54">
        <f t="shared" si="39"/>
        <v>0</v>
      </c>
      <c r="I185" s="54">
        <f t="shared" si="39"/>
        <v>0</v>
      </c>
      <c r="J185" s="77">
        <v>0</v>
      </c>
      <c r="K185" s="49"/>
      <c r="L185" s="50"/>
      <c r="M185" s="72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</row>
    <row r="186" spans="1:33" s="16" customFormat="1" ht="19.5" customHeight="1">
      <c r="A186" s="23" t="s">
        <v>876</v>
      </c>
      <c r="B186" s="24" t="s">
        <v>219</v>
      </c>
      <c r="C186" s="23" t="s">
        <v>176</v>
      </c>
      <c r="D186" s="23" t="s">
        <v>225</v>
      </c>
      <c r="E186" s="99" t="s">
        <v>328</v>
      </c>
      <c r="F186" s="23"/>
      <c r="G186" s="54">
        <f aca="true" t="shared" si="40" ref="G186:I188">G187</f>
        <v>200</v>
      </c>
      <c r="H186" s="54">
        <f t="shared" si="40"/>
        <v>0</v>
      </c>
      <c r="I186" s="54">
        <f t="shared" si="40"/>
        <v>0</v>
      </c>
      <c r="J186" s="77">
        <v>0</v>
      </c>
      <c r="K186" s="49"/>
      <c r="L186" s="50"/>
      <c r="M186" s="72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</row>
    <row r="187" spans="1:33" s="16" customFormat="1" ht="58.5" customHeight="1">
      <c r="A187" s="23" t="s">
        <v>877</v>
      </c>
      <c r="B187" s="24" t="s">
        <v>223</v>
      </c>
      <c r="C187" s="23" t="s">
        <v>176</v>
      </c>
      <c r="D187" s="23" t="s">
        <v>225</v>
      </c>
      <c r="E187" s="99" t="s">
        <v>331</v>
      </c>
      <c r="F187" s="23"/>
      <c r="G187" s="54">
        <f t="shared" si="40"/>
        <v>200</v>
      </c>
      <c r="H187" s="54">
        <f t="shared" si="40"/>
        <v>0</v>
      </c>
      <c r="I187" s="54">
        <f t="shared" si="40"/>
        <v>0</v>
      </c>
      <c r="J187" s="77">
        <v>0</v>
      </c>
      <c r="K187" s="49"/>
      <c r="L187" s="49">
        <v>100</v>
      </c>
      <c r="M187" s="72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</row>
    <row r="188" spans="1:33" s="16" customFormat="1" ht="20.25" customHeight="1">
      <c r="A188" s="23" t="s">
        <v>878</v>
      </c>
      <c r="B188" s="25" t="s">
        <v>198</v>
      </c>
      <c r="C188" s="23" t="s">
        <v>176</v>
      </c>
      <c r="D188" s="23" t="s">
        <v>225</v>
      </c>
      <c r="E188" s="99" t="s">
        <v>331</v>
      </c>
      <c r="F188" s="23" t="s">
        <v>201</v>
      </c>
      <c r="G188" s="54">
        <f t="shared" si="40"/>
        <v>200</v>
      </c>
      <c r="H188" s="54">
        <f t="shared" si="40"/>
        <v>0</v>
      </c>
      <c r="I188" s="54">
        <f t="shared" si="40"/>
        <v>0</v>
      </c>
      <c r="J188" s="77">
        <v>0</v>
      </c>
      <c r="K188" s="49"/>
      <c r="L188" s="50"/>
      <c r="M188" s="72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</row>
    <row r="189" spans="1:33" s="16" customFormat="1" ht="18" customHeight="1">
      <c r="A189" s="23" t="s">
        <v>879</v>
      </c>
      <c r="B189" s="25" t="s">
        <v>224</v>
      </c>
      <c r="C189" s="23" t="s">
        <v>176</v>
      </c>
      <c r="D189" s="23" t="s">
        <v>225</v>
      </c>
      <c r="E189" s="99" t="s">
        <v>331</v>
      </c>
      <c r="F189" s="23" t="s">
        <v>226</v>
      </c>
      <c r="G189" s="54">
        <v>200</v>
      </c>
      <c r="H189" s="54">
        <f>200-200</f>
        <v>0</v>
      </c>
      <c r="I189" s="54">
        <v>0</v>
      </c>
      <c r="J189" s="77">
        <v>0</v>
      </c>
      <c r="K189" s="49"/>
      <c r="L189" s="50"/>
      <c r="M189" s="72"/>
      <c r="N189" s="75">
        <v>-100</v>
      </c>
      <c r="O189" s="75"/>
      <c r="P189" s="75"/>
      <c r="Q189" s="75"/>
      <c r="R189" s="75"/>
      <c r="S189" s="75"/>
      <c r="T189" s="75"/>
      <c r="U189" s="75">
        <v>100</v>
      </c>
      <c r="V189" s="75"/>
      <c r="W189" s="75"/>
      <c r="X189" s="75">
        <v>200</v>
      </c>
      <c r="Y189" s="75"/>
      <c r="Z189" s="75"/>
      <c r="AA189" s="75"/>
      <c r="AB189" s="75">
        <v>200</v>
      </c>
      <c r="AC189" s="75"/>
      <c r="AD189" s="75"/>
      <c r="AE189" s="75"/>
      <c r="AF189" s="75">
        <v>-200</v>
      </c>
      <c r="AG189" s="75"/>
    </row>
    <row r="190" spans="1:33" s="16" customFormat="1" ht="20.25" customHeight="1">
      <c r="A190" s="23" t="s">
        <v>671</v>
      </c>
      <c r="B190" s="35" t="s">
        <v>214</v>
      </c>
      <c r="C190" s="36" t="s">
        <v>176</v>
      </c>
      <c r="D190" s="36" t="s">
        <v>212</v>
      </c>
      <c r="E190" s="36"/>
      <c r="F190" s="36"/>
      <c r="G190" s="78">
        <f>SUM(G198+G222+G234+G243+G215+G191)</f>
        <v>29755.300000000003</v>
      </c>
      <c r="H190" s="78">
        <f>SUM(H198+H222+H234+H243+H215+H191)</f>
        <v>32454.799999999996</v>
      </c>
      <c r="I190" s="78">
        <f>SUM(I198+I222+I234+I243+I215+I191)</f>
        <v>32309.8</v>
      </c>
      <c r="J190" s="77">
        <f t="shared" si="31"/>
        <v>99.5532247926347</v>
      </c>
      <c r="K190" s="49"/>
      <c r="L190" s="50"/>
      <c r="M190" s="72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</row>
    <row r="191" spans="1:33" s="16" customFormat="1" ht="36" customHeight="1">
      <c r="A191" s="23" t="s">
        <v>672</v>
      </c>
      <c r="B191" s="24" t="s">
        <v>268</v>
      </c>
      <c r="C191" s="23" t="s">
        <v>176</v>
      </c>
      <c r="D191" s="23" t="s">
        <v>212</v>
      </c>
      <c r="E191" s="23" t="s">
        <v>356</v>
      </c>
      <c r="F191" s="23"/>
      <c r="G191" s="58">
        <f aca="true" t="shared" si="41" ref="G191:I192">SUM(G192)</f>
        <v>0</v>
      </c>
      <c r="H191" s="58">
        <f t="shared" si="41"/>
        <v>230.00000000000003</v>
      </c>
      <c r="I191" s="58">
        <f t="shared" si="41"/>
        <v>230</v>
      </c>
      <c r="J191" s="77">
        <f t="shared" si="31"/>
        <v>99.99999999999999</v>
      </c>
      <c r="K191" s="49"/>
      <c r="L191" s="50"/>
      <c r="M191" s="72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</row>
    <row r="192" spans="1:33" s="16" customFormat="1" ht="41.25" customHeight="1">
      <c r="A192" s="23" t="s">
        <v>382</v>
      </c>
      <c r="B192" s="24" t="s">
        <v>233</v>
      </c>
      <c r="C192" s="23" t="s">
        <v>176</v>
      </c>
      <c r="D192" s="23" t="s">
        <v>212</v>
      </c>
      <c r="E192" s="23" t="s">
        <v>358</v>
      </c>
      <c r="F192" s="23"/>
      <c r="G192" s="58">
        <f t="shared" si="41"/>
        <v>0</v>
      </c>
      <c r="H192" s="58">
        <f t="shared" si="41"/>
        <v>230.00000000000003</v>
      </c>
      <c r="I192" s="58">
        <f t="shared" si="41"/>
        <v>230</v>
      </c>
      <c r="J192" s="77">
        <f t="shared" si="31"/>
        <v>99.99999999999999</v>
      </c>
      <c r="K192" s="49"/>
      <c r="L192" s="50"/>
      <c r="M192" s="72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</row>
    <row r="193" spans="1:33" s="16" customFormat="1" ht="94.5" customHeight="1">
      <c r="A193" s="23" t="s">
        <v>1016</v>
      </c>
      <c r="B193" s="29" t="s">
        <v>865</v>
      </c>
      <c r="C193" s="23" t="s">
        <v>176</v>
      </c>
      <c r="D193" s="23" t="s">
        <v>212</v>
      </c>
      <c r="E193" s="23" t="s">
        <v>864</v>
      </c>
      <c r="F193" s="23"/>
      <c r="G193" s="58">
        <f>G194+G196</f>
        <v>0</v>
      </c>
      <c r="H193" s="58">
        <f>H194+H196</f>
        <v>230.00000000000003</v>
      </c>
      <c r="I193" s="58">
        <f>I194+I196</f>
        <v>230</v>
      </c>
      <c r="J193" s="77">
        <f aca="true" t="shared" si="42" ref="J193:J256">I193/H193*100</f>
        <v>99.99999999999999</v>
      </c>
      <c r="K193" s="49"/>
      <c r="L193" s="50"/>
      <c r="M193" s="72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</row>
    <row r="194" spans="1:33" s="16" customFormat="1" ht="58.5" customHeight="1">
      <c r="A194" s="23" t="s">
        <v>1017</v>
      </c>
      <c r="B194" s="25" t="s">
        <v>181</v>
      </c>
      <c r="C194" s="23" t="s">
        <v>176</v>
      </c>
      <c r="D194" s="23" t="s">
        <v>212</v>
      </c>
      <c r="E194" s="23" t="s">
        <v>864</v>
      </c>
      <c r="F194" s="23" t="s">
        <v>179</v>
      </c>
      <c r="G194" s="58">
        <f aca="true" t="shared" si="43" ref="G194:I196">G195</f>
        <v>0</v>
      </c>
      <c r="H194" s="58">
        <f t="shared" si="43"/>
        <v>222.20000000000002</v>
      </c>
      <c r="I194" s="58">
        <f t="shared" si="43"/>
        <v>222.2</v>
      </c>
      <c r="J194" s="77">
        <f t="shared" si="42"/>
        <v>99.99999999999999</v>
      </c>
      <c r="K194" s="49"/>
      <c r="L194" s="50"/>
      <c r="M194" s="72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</row>
    <row r="195" spans="1:33" s="16" customFormat="1" ht="32.25" customHeight="1">
      <c r="A195" s="23" t="s">
        <v>1018</v>
      </c>
      <c r="B195" s="25" t="s">
        <v>300</v>
      </c>
      <c r="C195" s="23" t="s">
        <v>176</v>
      </c>
      <c r="D195" s="23" t="s">
        <v>212</v>
      </c>
      <c r="E195" s="23" t="s">
        <v>864</v>
      </c>
      <c r="F195" s="23" t="s">
        <v>180</v>
      </c>
      <c r="G195" s="58">
        <v>0</v>
      </c>
      <c r="H195" s="58">
        <f>215.4+6.8</f>
        <v>222.20000000000002</v>
      </c>
      <c r="I195" s="58">
        <v>222.2</v>
      </c>
      <c r="J195" s="77">
        <f t="shared" si="42"/>
        <v>99.99999999999999</v>
      </c>
      <c r="K195" s="49"/>
      <c r="L195" s="50"/>
      <c r="M195" s="72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>
        <v>215.4</v>
      </c>
      <c r="AE195" s="75"/>
      <c r="AF195" s="75"/>
      <c r="AG195" s="75"/>
    </row>
    <row r="196" spans="1:33" s="16" customFormat="1" ht="36.75" customHeight="1">
      <c r="A196" s="23" t="s">
        <v>1019</v>
      </c>
      <c r="B196" s="22" t="s">
        <v>144</v>
      </c>
      <c r="C196" s="23" t="s">
        <v>176</v>
      </c>
      <c r="D196" s="23" t="s">
        <v>212</v>
      </c>
      <c r="E196" s="23" t="s">
        <v>864</v>
      </c>
      <c r="F196" s="23" t="s">
        <v>109</v>
      </c>
      <c r="G196" s="58">
        <f t="shared" si="43"/>
        <v>0</v>
      </c>
      <c r="H196" s="58">
        <f t="shared" si="43"/>
        <v>7.8</v>
      </c>
      <c r="I196" s="58">
        <f t="shared" si="43"/>
        <v>7.8</v>
      </c>
      <c r="J196" s="77">
        <f t="shared" si="42"/>
        <v>100</v>
      </c>
      <c r="K196" s="49"/>
      <c r="L196" s="50"/>
      <c r="M196" s="72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</row>
    <row r="197" spans="1:33" s="16" customFormat="1" ht="36.75" customHeight="1">
      <c r="A197" s="23" t="s">
        <v>1020</v>
      </c>
      <c r="B197" s="22" t="s">
        <v>145</v>
      </c>
      <c r="C197" s="23" t="s">
        <v>176</v>
      </c>
      <c r="D197" s="23" t="s">
        <v>212</v>
      </c>
      <c r="E197" s="23" t="s">
        <v>864</v>
      </c>
      <c r="F197" s="23" t="s">
        <v>102</v>
      </c>
      <c r="G197" s="58">
        <v>0</v>
      </c>
      <c r="H197" s="58">
        <v>7.8</v>
      </c>
      <c r="I197" s="58">
        <v>7.8</v>
      </c>
      <c r="J197" s="77">
        <f t="shared" si="42"/>
        <v>100</v>
      </c>
      <c r="K197" s="49"/>
      <c r="L197" s="50"/>
      <c r="M197" s="72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>
        <v>7.8</v>
      </c>
      <c r="AE197" s="75"/>
      <c r="AF197" s="75"/>
      <c r="AG197" s="75"/>
    </row>
    <row r="198" spans="1:33" s="16" customFormat="1" ht="32.25" customHeight="1">
      <c r="A198" s="23" t="s">
        <v>1021</v>
      </c>
      <c r="B198" s="24" t="s">
        <v>291</v>
      </c>
      <c r="C198" s="23" t="s">
        <v>176</v>
      </c>
      <c r="D198" s="23" t="s">
        <v>212</v>
      </c>
      <c r="E198" s="23" t="s">
        <v>326</v>
      </c>
      <c r="F198" s="23"/>
      <c r="G198" s="54">
        <f>G199</f>
        <v>2686.2</v>
      </c>
      <c r="H198" s="54">
        <f>H199</f>
        <v>2502.6</v>
      </c>
      <c r="I198" s="54">
        <f>I199</f>
        <v>2476.1</v>
      </c>
      <c r="J198" s="77">
        <f t="shared" si="42"/>
        <v>98.94110125469511</v>
      </c>
      <c r="K198" s="49"/>
      <c r="L198" s="50"/>
      <c r="M198" s="72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</row>
    <row r="199" spans="1:33" s="16" customFormat="1" ht="25.5">
      <c r="A199" s="23" t="s">
        <v>673</v>
      </c>
      <c r="B199" s="22" t="s">
        <v>227</v>
      </c>
      <c r="C199" s="23" t="s">
        <v>176</v>
      </c>
      <c r="D199" s="23" t="s">
        <v>212</v>
      </c>
      <c r="E199" s="23" t="s">
        <v>332</v>
      </c>
      <c r="F199" s="23"/>
      <c r="G199" s="54">
        <f>G200+G210+G207</f>
        <v>2686.2</v>
      </c>
      <c r="H199" s="54">
        <f>H200+H210+H207</f>
        <v>2502.6</v>
      </c>
      <c r="I199" s="54">
        <f>I200+I210+I207</f>
        <v>2476.1</v>
      </c>
      <c r="J199" s="77">
        <f t="shared" si="42"/>
        <v>98.94110125469511</v>
      </c>
      <c r="K199" s="49"/>
      <c r="L199" s="50"/>
      <c r="M199" s="72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</row>
    <row r="200" spans="1:33" s="16" customFormat="1" ht="63.75">
      <c r="A200" s="23" t="s">
        <v>674</v>
      </c>
      <c r="B200" s="22" t="s">
        <v>734</v>
      </c>
      <c r="C200" s="23" t="s">
        <v>176</v>
      </c>
      <c r="D200" s="23" t="s">
        <v>212</v>
      </c>
      <c r="E200" s="23" t="s">
        <v>733</v>
      </c>
      <c r="F200" s="23"/>
      <c r="G200" s="54">
        <f>G201+G203+G205</f>
        <v>2547.6</v>
      </c>
      <c r="H200" s="54">
        <f>H201+H203+H205</f>
        <v>2310.4</v>
      </c>
      <c r="I200" s="54">
        <f>I201+I203+I205</f>
        <v>2283.9</v>
      </c>
      <c r="J200" s="77">
        <f t="shared" si="42"/>
        <v>98.85301246537395</v>
      </c>
      <c r="K200" s="49"/>
      <c r="L200" s="50">
        <v>2087.5</v>
      </c>
      <c r="M200" s="72"/>
      <c r="N200" s="75"/>
      <c r="O200" s="75"/>
      <c r="P200" s="75"/>
      <c r="Q200" s="75"/>
      <c r="R200" s="75"/>
      <c r="S200" s="75"/>
      <c r="T200" s="75"/>
      <c r="U200" s="75">
        <v>1628</v>
      </c>
      <c r="V200" s="75"/>
      <c r="W200" s="75"/>
      <c r="X200" s="75"/>
      <c r="Y200" s="75"/>
      <c r="Z200" s="75">
        <v>2042.6</v>
      </c>
      <c r="AA200" s="75"/>
      <c r="AB200" s="75">
        <v>2547.6</v>
      </c>
      <c r="AC200" s="75"/>
      <c r="AD200" s="75"/>
      <c r="AE200" s="75"/>
      <c r="AF200" s="75"/>
      <c r="AG200" s="75"/>
    </row>
    <row r="201" spans="1:33" s="16" customFormat="1" ht="51">
      <c r="A201" s="23" t="s">
        <v>44</v>
      </c>
      <c r="B201" s="25" t="s">
        <v>181</v>
      </c>
      <c r="C201" s="23" t="s">
        <v>176</v>
      </c>
      <c r="D201" s="23" t="s">
        <v>212</v>
      </c>
      <c r="E201" s="23" t="s">
        <v>733</v>
      </c>
      <c r="F201" s="23" t="s">
        <v>179</v>
      </c>
      <c r="G201" s="54">
        <f>G202</f>
        <v>2151.7</v>
      </c>
      <c r="H201" s="54">
        <f>H202</f>
        <v>2049.5</v>
      </c>
      <c r="I201" s="54">
        <f>I202</f>
        <v>2032.5</v>
      </c>
      <c r="J201" s="77">
        <f t="shared" si="42"/>
        <v>99.17052939741401</v>
      </c>
      <c r="K201" s="49"/>
      <c r="L201" s="50"/>
      <c r="M201" s="72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</row>
    <row r="202" spans="1:33" s="16" customFormat="1" ht="25.5" customHeight="1">
      <c r="A202" s="23" t="s">
        <v>45</v>
      </c>
      <c r="B202" s="25" t="s">
        <v>182</v>
      </c>
      <c r="C202" s="23" t="s">
        <v>176</v>
      </c>
      <c r="D202" s="23" t="s">
        <v>212</v>
      </c>
      <c r="E202" s="23" t="s">
        <v>733</v>
      </c>
      <c r="F202" s="23" t="s">
        <v>211</v>
      </c>
      <c r="G202" s="58">
        <v>2151.7</v>
      </c>
      <c r="H202" s="58">
        <f>2151.7-102.2</f>
        <v>2049.5</v>
      </c>
      <c r="I202" s="58">
        <v>2032.5</v>
      </c>
      <c r="J202" s="77">
        <f t="shared" si="42"/>
        <v>99.17052939741401</v>
      </c>
      <c r="K202" s="55"/>
      <c r="L202" s="50"/>
      <c r="M202" s="72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>
        <v>-0.6</v>
      </c>
      <c r="Y202" s="75"/>
      <c r="Z202" s="75"/>
      <c r="AA202" s="75"/>
      <c r="AB202" s="75"/>
      <c r="AC202" s="75"/>
      <c r="AD202" s="75"/>
      <c r="AE202" s="75">
        <v>-102.2</v>
      </c>
      <c r="AF202" s="75"/>
      <c r="AG202" s="75"/>
    </row>
    <row r="203" spans="1:33" s="16" customFormat="1" ht="25.5">
      <c r="A203" s="23" t="s">
        <v>46</v>
      </c>
      <c r="B203" s="22" t="s">
        <v>144</v>
      </c>
      <c r="C203" s="23" t="s">
        <v>176</v>
      </c>
      <c r="D203" s="23" t="s">
        <v>212</v>
      </c>
      <c r="E203" s="23" t="s">
        <v>733</v>
      </c>
      <c r="F203" s="23" t="s">
        <v>109</v>
      </c>
      <c r="G203" s="54">
        <f>G204</f>
        <v>394.9</v>
      </c>
      <c r="H203" s="54">
        <f>H204</f>
        <v>259.9</v>
      </c>
      <c r="I203" s="54">
        <f>I204</f>
        <v>251.4</v>
      </c>
      <c r="J203" s="77">
        <f t="shared" si="42"/>
        <v>96.72951135051943</v>
      </c>
      <c r="K203" s="49"/>
      <c r="L203" s="50"/>
      <c r="M203" s="72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</row>
    <row r="204" spans="1:33" s="16" customFormat="1" ht="31.5" customHeight="1">
      <c r="A204" s="23" t="s">
        <v>47</v>
      </c>
      <c r="B204" s="22" t="s">
        <v>145</v>
      </c>
      <c r="C204" s="23" t="s">
        <v>176</v>
      </c>
      <c r="D204" s="23" t="s">
        <v>212</v>
      </c>
      <c r="E204" s="23" t="s">
        <v>733</v>
      </c>
      <c r="F204" s="23" t="s">
        <v>102</v>
      </c>
      <c r="G204" s="58">
        <v>394.9</v>
      </c>
      <c r="H204" s="58">
        <f>394.9-135</f>
        <v>259.9</v>
      </c>
      <c r="I204" s="58">
        <v>251.4</v>
      </c>
      <c r="J204" s="77">
        <f t="shared" si="42"/>
        <v>96.72951135051943</v>
      </c>
      <c r="K204" s="49"/>
      <c r="L204" s="50"/>
      <c r="M204" s="72"/>
      <c r="N204" s="75">
        <v>-118.1</v>
      </c>
      <c r="O204" s="75"/>
      <c r="P204" s="75"/>
      <c r="Q204" s="75"/>
      <c r="R204" s="75"/>
      <c r="S204" s="75"/>
      <c r="T204" s="75"/>
      <c r="U204" s="75"/>
      <c r="V204" s="75"/>
      <c r="W204" s="75"/>
      <c r="X204" s="75">
        <v>-0.1</v>
      </c>
      <c r="Y204" s="75"/>
      <c r="Z204" s="75"/>
      <c r="AA204" s="75"/>
      <c r="AB204" s="75"/>
      <c r="AC204" s="75"/>
      <c r="AD204" s="75"/>
      <c r="AE204" s="75">
        <v>-135</v>
      </c>
      <c r="AF204" s="75"/>
      <c r="AG204" s="75"/>
    </row>
    <row r="205" spans="1:33" s="16" customFormat="1" ht="21.75" customHeight="1">
      <c r="A205" s="23" t="s">
        <v>383</v>
      </c>
      <c r="B205" s="25" t="s">
        <v>198</v>
      </c>
      <c r="C205" s="23" t="s">
        <v>176</v>
      </c>
      <c r="D205" s="23" t="s">
        <v>212</v>
      </c>
      <c r="E205" s="23" t="s">
        <v>733</v>
      </c>
      <c r="F205" s="23" t="s">
        <v>201</v>
      </c>
      <c r="G205" s="58">
        <f>G206</f>
        <v>1</v>
      </c>
      <c r="H205" s="58">
        <f>H206</f>
        <v>1</v>
      </c>
      <c r="I205" s="58">
        <f>I206</f>
        <v>0</v>
      </c>
      <c r="J205" s="77">
        <f t="shared" si="42"/>
        <v>0</v>
      </c>
      <c r="K205" s="49"/>
      <c r="L205" s="50"/>
      <c r="M205" s="72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</row>
    <row r="206" spans="1:33" s="16" customFormat="1" ht="26.25" customHeight="1">
      <c r="A206" s="23" t="s">
        <v>880</v>
      </c>
      <c r="B206" s="25" t="s">
        <v>199</v>
      </c>
      <c r="C206" s="23" t="s">
        <v>176</v>
      </c>
      <c r="D206" s="23" t="s">
        <v>212</v>
      </c>
      <c r="E206" s="23" t="s">
        <v>733</v>
      </c>
      <c r="F206" s="23" t="s">
        <v>202</v>
      </c>
      <c r="G206" s="58">
        <v>1</v>
      </c>
      <c r="H206" s="58">
        <v>1</v>
      </c>
      <c r="I206" s="58">
        <v>0</v>
      </c>
      <c r="J206" s="77">
        <f t="shared" si="42"/>
        <v>0</v>
      </c>
      <c r="K206" s="49"/>
      <c r="L206" s="50"/>
      <c r="M206" s="72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>
        <f>0.6+0.1</f>
        <v>0.7</v>
      </c>
      <c r="Y206" s="75"/>
      <c r="Z206" s="75"/>
      <c r="AA206" s="75"/>
      <c r="AB206" s="75"/>
      <c r="AC206" s="75"/>
      <c r="AD206" s="75"/>
      <c r="AE206" s="75"/>
      <c r="AF206" s="75"/>
      <c r="AG206" s="75"/>
    </row>
    <row r="207" spans="1:33" s="16" customFormat="1" ht="78" customHeight="1">
      <c r="A207" s="23" t="s">
        <v>881</v>
      </c>
      <c r="B207" s="22" t="s">
        <v>1423</v>
      </c>
      <c r="C207" s="23" t="s">
        <v>176</v>
      </c>
      <c r="D207" s="23" t="s">
        <v>212</v>
      </c>
      <c r="E207" s="23" t="s">
        <v>1424</v>
      </c>
      <c r="F207" s="23"/>
      <c r="G207" s="54">
        <f aca="true" t="shared" si="44" ref="G207:I208">G208</f>
        <v>0</v>
      </c>
      <c r="H207" s="54">
        <f t="shared" si="44"/>
        <v>50</v>
      </c>
      <c r="I207" s="54">
        <f t="shared" si="44"/>
        <v>50</v>
      </c>
      <c r="J207" s="77">
        <f t="shared" si="42"/>
        <v>100</v>
      </c>
      <c r="K207" s="49"/>
      <c r="L207" s="50"/>
      <c r="M207" s="72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</row>
    <row r="208" spans="1:33" s="16" customFormat="1" ht="54.75" customHeight="1">
      <c r="A208" s="23" t="s">
        <v>109</v>
      </c>
      <c r="B208" s="25" t="s">
        <v>181</v>
      </c>
      <c r="C208" s="23" t="s">
        <v>176</v>
      </c>
      <c r="D208" s="23" t="s">
        <v>212</v>
      </c>
      <c r="E208" s="23" t="s">
        <v>1424</v>
      </c>
      <c r="F208" s="23" t="s">
        <v>179</v>
      </c>
      <c r="G208" s="54">
        <f t="shared" si="44"/>
        <v>0</v>
      </c>
      <c r="H208" s="54">
        <f t="shared" si="44"/>
        <v>50</v>
      </c>
      <c r="I208" s="54">
        <f t="shared" si="44"/>
        <v>50</v>
      </c>
      <c r="J208" s="77">
        <f t="shared" si="42"/>
        <v>100</v>
      </c>
      <c r="K208" s="49"/>
      <c r="L208" s="50"/>
      <c r="M208" s="72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</row>
    <row r="209" spans="1:33" s="16" customFormat="1" ht="34.5" customHeight="1">
      <c r="A209" s="23" t="s">
        <v>428</v>
      </c>
      <c r="B209" s="25" t="s">
        <v>182</v>
      </c>
      <c r="C209" s="23" t="s">
        <v>176</v>
      </c>
      <c r="D209" s="23" t="s">
        <v>212</v>
      </c>
      <c r="E209" s="23" t="s">
        <v>1424</v>
      </c>
      <c r="F209" s="23" t="s">
        <v>211</v>
      </c>
      <c r="G209" s="58">
        <v>0</v>
      </c>
      <c r="H209" s="58">
        <v>50</v>
      </c>
      <c r="I209" s="58">
        <v>50</v>
      </c>
      <c r="J209" s="77">
        <f t="shared" si="42"/>
        <v>100</v>
      </c>
      <c r="K209" s="49"/>
      <c r="L209" s="50"/>
      <c r="M209" s="72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</row>
    <row r="210" spans="1:33" s="17" customFormat="1" ht="76.5">
      <c r="A210" s="23" t="s">
        <v>384</v>
      </c>
      <c r="B210" s="22" t="s">
        <v>490</v>
      </c>
      <c r="C210" s="23" t="s">
        <v>176</v>
      </c>
      <c r="D210" s="23" t="s">
        <v>212</v>
      </c>
      <c r="E210" s="23" t="s">
        <v>333</v>
      </c>
      <c r="F210" s="23"/>
      <c r="G210" s="54">
        <f>G211+G213</f>
        <v>138.6</v>
      </c>
      <c r="H210" s="54">
        <f>H211+H213</f>
        <v>142.2</v>
      </c>
      <c r="I210" s="54">
        <f>I211+I213</f>
        <v>142.2</v>
      </c>
      <c r="J210" s="77">
        <f t="shared" si="42"/>
        <v>100</v>
      </c>
      <c r="K210" s="55">
        <v>100.1</v>
      </c>
      <c r="L210" s="46"/>
      <c r="M210" s="74"/>
      <c r="N210" s="65"/>
      <c r="O210" s="65"/>
      <c r="P210" s="65"/>
      <c r="Q210" s="65"/>
      <c r="R210" s="65"/>
      <c r="S210" s="65"/>
      <c r="T210" s="65">
        <v>117.3</v>
      </c>
      <c r="U210" s="65"/>
      <c r="V210" s="65"/>
      <c r="W210" s="65"/>
      <c r="X210" s="65"/>
      <c r="Y210" s="65"/>
      <c r="Z210" s="65"/>
      <c r="AA210" s="65">
        <v>118.4</v>
      </c>
      <c r="AB210" s="65"/>
      <c r="AC210" s="43">
        <v>138.6</v>
      </c>
      <c r="AD210" s="65"/>
      <c r="AE210" s="65"/>
      <c r="AF210" s="65"/>
      <c r="AG210" s="65"/>
    </row>
    <row r="211" spans="1:33" s="15" customFormat="1" ht="51">
      <c r="A211" s="23" t="s">
        <v>48</v>
      </c>
      <c r="B211" s="25" t="s">
        <v>181</v>
      </c>
      <c r="C211" s="23" t="s">
        <v>176</v>
      </c>
      <c r="D211" s="23" t="s">
        <v>212</v>
      </c>
      <c r="E211" s="23" t="s">
        <v>333</v>
      </c>
      <c r="F211" s="23" t="s">
        <v>179</v>
      </c>
      <c r="G211" s="54">
        <f>G212</f>
        <v>115.2</v>
      </c>
      <c r="H211" s="54">
        <f>H212</f>
        <v>118.8</v>
      </c>
      <c r="I211" s="54">
        <f>I212</f>
        <v>118.8</v>
      </c>
      <c r="J211" s="77">
        <f t="shared" si="42"/>
        <v>100</v>
      </c>
      <c r="K211" s="47"/>
      <c r="L211" s="48"/>
      <c r="M211" s="86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</row>
    <row r="212" spans="1:33" s="16" customFormat="1" ht="25.5" customHeight="1">
      <c r="A212" s="23" t="s">
        <v>49</v>
      </c>
      <c r="B212" s="25" t="s">
        <v>182</v>
      </c>
      <c r="C212" s="23" t="s">
        <v>176</v>
      </c>
      <c r="D212" s="23" t="s">
        <v>212</v>
      </c>
      <c r="E212" s="23" t="s">
        <v>333</v>
      </c>
      <c r="F212" s="23" t="s">
        <v>211</v>
      </c>
      <c r="G212" s="58">
        <v>115.2</v>
      </c>
      <c r="H212" s="58">
        <f>115.2+3.6</f>
        <v>118.8</v>
      </c>
      <c r="I212" s="58">
        <v>118.8</v>
      </c>
      <c r="J212" s="77">
        <f t="shared" si="42"/>
        <v>100</v>
      </c>
      <c r="K212" s="49"/>
      <c r="L212" s="50"/>
      <c r="M212" s="72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</row>
    <row r="213" spans="1:33" s="16" customFormat="1" ht="27.75" customHeight="1">
      <c r="A213" s="23" t="s">
        <v>675</v>
      </c>
      <c r="B213" s="22" t="s">
        <v>144</v>
      </c>
      <c r="C213" s="23" t="s">
        <v>176</v>
      </c>
      <c r="D213" s="23" t="s">
        <v>212</v>
      </c>
      <c r="E213" s="23" t="s">
        <v>333</v>
      </c>
      <c r="F213" s="23" t="s">
        <v>109</v>
      </c>
      <c r="G213" s="54">
        <f>G214</f>
        <v>23.4</v>
      </c>
      <c r="H213" s="54">
        <f>H214</f>
        <v>23.4</v>
      </c>
      <c r="I213" s="54">
        <f>I214</f>
        <v>23.4</v>
      </c>
      <c r="J213" s="77">
        <f t="shared" si="42"/>
        <v>100</v>
      </c>
      <c r="K213" s="49"/>
      <c r="L213" s="50"/>
      <c r="M213" s="72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</row>
    <row r="214" spans="1:33" s="16" customFormat="1" ht="29.25" customHeight="1">
      <c r="A214" s="23" t="s">
        <v>1022</v>
      </c>
      <c r="B214" s="22" t="s">
        <v>145</v>
      </c>
      <c r="C214" s="23" t="s">
        <v>176</v>
      </c>
      <c r="D214" s="23" t="s">
        <v>212</v>
      </c>
      <c r="E214" s="23" t="s">
        <v>333</v>
      </c>
      <c r="F214" s="23" t="s">
        <v>102</v>
      </c>
      <c r="G214" s="58">
        <v>23.4</v>
      </c>
      <c r="H214" s="58">
        <v>23.4</v>
      </c>
      <c r="I214" s="58">
        <v>23.4</v>
      </c>
      <c r="J214" s="77">
        <f t="shared" si="42"/>
        <v>100</v>
      </c>
      <c r="K214" s="49"/>
      <c r="L214" s="50"/>
      <c r="M214" s="72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</row>
    <row r="215" spans="1:33" s="16" customFormat="1" ht="29.25" customHeight="1">
      <c r="A215" s="23" t="s">
        <v>1023</v>
      </c>
      <c r="B215" s="24" t="s">
        <v>291</v>
      </c>
      <c r="C215" s="23" t="s">
        <v>176</v>
      </c>
      <c r="D215" s="23" t="s">
        <v>212</v>
      </c>
      <c r="E215" s="23" t="s">
        <v>344</v>
      </c>
      <c r="F215" s="23"/>
      <c r="G215" s="54">
        <f aca="true" t="shared" si="45" ref="G215:I216">G216</f>
        <v>0</v>
      </c>
      <c r="H215" s="54">
        <f t="shared" si="45"/>
        <v>1785.6000000000001</v>
      </c>
      <c r="I215" s="54">
        <f t="shared" si="45"/>
        <v>1785.6000000000001</v>
      </c>
      <c r="J215" s="77">
        <f t="shared" si="42"/>
        <v>100</v>
      </c>
      <c r="K215" s="49"/>
      <c r="L215" s="50"/>
      <c r="M215" s="72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</row>
    <row r="216" spans="1:33" s="16" customFormat="1" ht="29.25" customHeight="1">
      <c r="A216" s="23" t="s">
        <v>1024</v>
      </c>
      <c r="B216" s="22" t="s">
        <v>1200</v>
      </c>
      <c r="C216" s="23" t="s">
        <v>176</v>
      </c>
      <c r="D216" s="23" t="s">
        <v>212</v>
      </c>
      <c r="E216" s="23" t="s">
        <v>1201</v>
      </c>
      <c r="F216" s="23"/>
      <c r="G216" s="54">
        <f t="shared" si="45"/>
        <v>0</v>
      </c>
      <c r="H216" s="54">
        <f t="shared" si="45"/>
        <v>1785.6000000000001</v>
      </c>
      <c r="I216" s="54">
        <f t="shared" si="45"/>
        <v>1785.6000000000001</v>
      </c>
      <c r="J216" s="77">
        <f t="shared" si="42"/>
        <v>100</v>
      </c>
      <c r="K216" s="49"/>
      <c r="L216" s="50"/>
      <c r="M216" s="72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</row>
    <row r="217" spans="1:33" s="16" customFormat="1" ht="95.25" customHeight="1">
      <c r="A217" s="23" t="s">
        <v>125</v>
      </c>
      <c r="B217" s="22" t="s">
        <v>1202</v>
      </c>
      <c r="C217" s="23" t="s">
        <v>176</v>
      </c>
      <c r="D217" s="23" t="s">
        <v>212</v>
      </c>
      <c r="E217" s="23" t="s">
        <v>1507</v>
      </c>
      <c r="F217" s="23"/>
      <c r="G217" s="54">
        <f>G218+G220</f>
        <v>0</v>
      </c>
      <c r="H217" s="54">
        <f>H218+H220</f>
        <v>1785.6000000000001</v>
      </c>
      <c r="I217" s="54">
        <f>I218+I220</f>
        <v>1785.6000000000001</v>
      </c>
      <c r="J217" s="77">
        <f t="shared" si="42"/>
        <v>100</v>
      </c>
      <c r="K217" s="49"/>
      <c r="L217" s="50"/>
      <c r="M217" s="72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</row>
    <row r="218" spans="1:33" s="16" customFormat="1" ht="29.25" customHeight="1">
      <c r="A218" s="23" t="s">
        <v>126</v>
      </c>
      <c r="B218" s="22" t="s">
        <v>144</v>
      </c>
      <c r="C218" s="23" t="s">
        <v>176</v>
      </c>
      <c r="D218" s="23" t="s">
        <v>212</v>
      </c>
      <c r="E218" s="23" t="s">
        <v>1507</v>
      </c>
      <c r="F218" s="23" t="s">
        <v>109</v>
      </c>
      <c r="G218" s="54">
        <f>G219</f>
        <v>0</v>
      </c>
      <c r="H218" s="54">
        <f>H219</f>
        <v>1579.4</v>
      </c>
      <c r="I218" s="54">
        <f>I219</f>
        <v>1579.4</v>
      </c>
      <c r="J218" s="77">
        <f t="shared" si="42"/>
        <v>100</v>
      </c>
      <c r="K218" s="49"/>
      <c r="L218" s="50"/>
      <c r="M218" s="72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</row>
    <row r="219" spans="1:33" s="16" customFormat="1" ht="29.25" customHeight="1">
      <c r="A219" s="23" t="s">
        <v>470</v>
      </c>
      <c r="B219" s="22" t="s">
        <v>145</v>
      </c>
      <c r="C219" s="23" t="s">
        <v>176</v>
      </c>
      <c r="D219" s="23" t="s">
        <v>212</v>
      </c>
      <c r="E219" s="23" t="s">
        <v>1507</v>
      </c>
      <c r="F219" s="23" t="s">
        <v>102</v>
      </c>
      <c r="G219" s="54">
        <v>0</v>
      </c>
      <c r="H219" s="54">
        <v>1579.4</v>
      </c>
      <c r="I219" s="54">
        <v>1579.4</v>
      </c>
      <c r="J219" s="77">
        <f t="shared" si="42"/>
        <v>100</v>
      </c>
      <c r="K219" s="49"/>
      <c r="L219" s="50"/>
      <c r="M219" s="72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>
        <v>1579.4</v>
      </c>
      <c r="AF219" s="75"/>
      <c r="AG219" s="75"/>
    </row>
    <row r="220" spans="1:33" s="16" customFormat="1" ht="29.25" customHeight="1">
      <c r="A220" s="23" t="s">
        <v>1025</v>
      </c>
      <c r="B220" s="25" t="s">
        <v>198</v>
      </c>
      <c r="C220" s="23" t="s">
        <v>176</v>
      </c>
      <c r="D220" s="23" t="s">
        <v>212</v>
      </c>
      <c r="E220" s="23" t="s">
        <v>1507</v>
      </c>
      <c r="F220" s="23" t="s">
        <v>201</v>
      </c>
      <c r="G220" s="54">
        <f>G221</f>
        <v>0</v>
      </c>
      <c r="H220" s="54">
        <f>H221</f>
        <v>206.2</v>
      </c>
      <c r="I220" s="54">
        <f>I221</f>
        <v>206.2</v>
      </c>
      <c r="J220" s="77">
        <f t="shared" si="42"/>
        <v>100</v>
      </c>
      <c r="K220" s="49"/>
      <c r="L220" s="50"/>
      <c r="M220" s="72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</row>
    <row r="221" spans="1:33" s="16" customFormat="1" ht="29.25" customHeight="1">
      <c r="A221" s="23" t="s">
        <v>1026</v>
      </c>
      <c r="B221" s="25" t="s">
        <v>1204</v>
      </c>
      <c r="C221" s="23" t="s">
        <v>176</v>
      </c>
      <c r="D221" s="23" t="s">
        <v>212</v>
      </c>
      <c r="E221" s="23" t="s">
        <v>1507</v>
      </c>
      <c r="F221" s="23" t="s">
        <v>1203</v>
      </c>
      <c r="G221" s="54">
        <v>0</v>
      </c>
      <c r="H221" s="54">
        <v>206.2</v>
      </c>
      <c r="I221" s="54">
        <v>206.2</v>
      </c>
      <c r="J221" s="77">
        <f t="shared" si="42"/>
        <v>100</v>
      </c>
      <c r="K221" s="49"/>
      <c r="L221" s="50"/>
      <c r="M221" s="72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>
        <v>206.2</v>
      </c>
      <c r="AF221" s="75"/>
      <c r="AG221" s="75"/>
    </row>
    <row r="222" spans="1:33" s="16" customFormat="1" ht="33.75" customHeight="1">
      <c r="A222" s="23" t="s">
        <v>471</v>
      </c>
      <c r="B222" s="22" t="s">
        <v>410</v>
      </c>
      <c r="C222" s="23" t="s">
        <v>176</v>
      </c>
      <c r="D222" s="23" t="s">
        <v>212</v>
      </c>
      <c r="E222" s="23" t="s">
        <v>309</v>
      </c>
      <c r="F222" s="23"/>
      <c r="G222" s="54">
        <f>SUM(G223)</f>
        <v>25952.8</v>
      </c>
      <c r="H222" s="54">
        <f>SUM(H223)</f>
        <v>26793.899999999998</v>
      </c>
      <c r="I222" s="54">
        <f>SUM(I223)</f>
        <v>26680.4</v>
      </c>
      <c r="J222" s="77">
        <f t="shared" si="42"/>
        <v>99.5763961200124</v>
      </c>
      <c r="K222" s="49"/>
      <c r="L222" s="50"/>
      <c r="M222" s="72"/>
      <c r="N222" s="75"/>
      <c r="O222" s="75"/>
      <c r="P222" s="75"/>
      <c r="Q222" s="75"/>
      <c r="R222" s="75"/>
      <c r="S222" s="75"/>
      <c r="T222" s="75"/>
      <c r="U222" s="75">
        <v>19090.8</v>
      </c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</row>
    <row r="223" spans="1:33" s="16" customFormat="1" ht="38.25">
      <c r="A223" s="23" t="s">
        <v>472</v>
      </c>
      <c r="B223" s="22" t="s">
        <v>548</v>
      </c>
      <c r="C223" s="23" t="s">
        <v>176</v>
      </c>
      <c r="D223" s="23" t="s">
        <v>212</v>
      </c>
      <c r="E223" s="23" t="s">
        <v>334</v>
      </c>
      <c r="F223" s="23"/>
      <c r="G223" s="54">
        <f>G224+G231</f>
        <v>25952.8</v>
      </c>
      <c r="H223" s="54">
        <f>H224+H231</f>
        <v>26793.899999999998</v>
      </c>
      <c r="I223" s="54">
        <f>I224+I231</f>
        <v>26680.4</v>
      </c>
      <c r="J223" s="77">
        <f t="shared" si="42"/>
        <v>99.5763961200124</v>
      </c>
      <c r="K223" s="49"/>
      <c r="L223" s="50"/>
      <c r="M223" s="72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</row>
    <row r="224" spans="1:33" s="16" customFormat="1" ht="81.75" customHeight="1">
      <c r="A224" s="23" t="s">
        <v>473</v>
      </c>
      <c r="B224" s="22" t="s">
        <v>735</v>
      </c>
      <c r="C224" s="23" t="s">
        <v>176</v>
      </c>
      <c r="D224" s="23" t="s">
        <v>212</v>
      </c>
      <c r="E224" s="23" t="s">
        <v>335</v>
      </c>
      <c r="F224" s="23"/>
      <c r="G224" s="54">
        <f>SUM(G225+G227+G229)</f>
        <v>25952.8</v>
      </c>
      <c r="H224" s="54">
        <f>SUM(H225+H227+H229)</f>
        <v>26443.899999999998</v>
      </c>
      <c r="I224" s="54">
        <f>SUM(I225+I227+I229)</f>
        <v>26330.4</v>
      </c>
      <c r="J224" s="77">
        <f t="shared" si="42"/>
        <v>99.57078948264062</v>
      </c>
      <c r="K224" s="49"/>
      <c r="L224" s="50">
        <v>12614.4</v>
      </c>
      <c r="M224" s="72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>
        <v>21811.6</v>
      </c>
      <c r="AA224" s="75"/>
      <c r="AB224" s="75">
        <v>25952.8</v>
      </c>
      <c r="AC224" s="75"/>
      <c r="AD224" s="75"/>
      <c r="AE224" s="75"/>
      <c r="AF224" s="75"/>
      <c r="AG224" s="75"/>
    </row>
    <row r="225" spans="1:33" s="16" customFormat="1" ht="57" customHeight="1">
      <c r="A225" s="23" t="s">
        <v>822</v>
      </c>
      <c r="B225" s="25" t="s">
        <v>181</v>
      </c>
      <c r="C225" s="23" t="s">
        <v>176</v>
      </c>
      <c r="D225" s="23" t="s">
        <v>212</v>
      </c>
      <c r="E225" s="23" t="s">
        <v>335</v>
      </c>
      <c r="F225" s="23" t="s">
        <v>179</v>
      </c>
      <c r="G225" s="54">
        <f>SUM(G226)</f>
        <v>24537.6</v>
      </c>
      <c r="H225" s="54">
        <f>SUM(H226)</f>
        <v>24537.6</v>
      </c>
      <c r="I225" s="54">
        <f>SUM(I226)</f>
        <v>24490.4</v>
      </c>
      <c r="J225" s="77">
        <f t="shared" si="42"/>
        <v>99.80764214919145</v>
      </c>
      <c r="K225" s="49"/>
      <c r="L225" s="50"/>
      <c r="M225" s="72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</row>
    <row r="226" spans="1:33" s="16" customFormat="1" ht="21.75" customHeight="1">
      <c r="A226" s="23" t="s">
        <v>823</v>
      </c>
      <c r="B226" s="25" t="s">
        <v>182</v>
      </c>
      <c r="C226" s="23" t="s">
        <v>176</v>
      </c>
      <c r="D226" s="23" t="s">
        <v>212</v>
      </c>
      <c r="E226" s="23" t="s">
        <v>335</v>
      </c>
      <c r="F226" s="23" t="s">
        <v>211</v>
      </c>
      <c r="G226" s="58">
        <v>24537.6</v>
      </c>
      <c r="H226" s="58">
        <v>24537.6</v>
      </c>
      <c r="I226" s="58">
        <v>24490.4</v>
      </c>
      <c r="J226" s="77">
        <f t="shared" si="42"/>
        <v>99.80764214919145</v>
      </c>
      <c r="K226" s="49"/>
      <c r="L226" s="50"/>
      <c r="M226" s="72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>
        <v>-1.5</v>
      </c>
      <c r="Y226" s="75"/>
      <c r="Z226" s="75"/>
      <c r="AA226" s="75"/>
      <c r="AB226" s="75"/>
      <c r="AC226" s="75"/>
      <c r="AD226" s="75"/>
      <c r="AE226" s="75"/>
      <c r="AF226" s="75"/>
      <c r="AG226" s="75"/>
    </row>
    <row r="227" spans="1:33" s="16" customFormat="1" ht="25.5">
      <c r="A227" s="23" t="s">
        <v>824</v>
      </c>
      <c r="B227" s="22" t="s">
        <v>144</v>
      </c>
      <c r="C227" s="23" t="s">
        <v>176</v>
      </c>
      <c r="D227" s="23" t="s">
        <v>212</v>
      </c>
      <c r="E227" s="23" t="s">
        <v>335</v>
      </c>
      <c r="F227" s="23" t="s">
        <v>109</v>
      </c>
      <c r="G227" s="54">
        <f>SUM(G228)</f>
        <v>1413.2</v>
      </c>
      <c r="H227" s="54">
        <f>SUM(H228)</f>
        <v>1904.3000000000002</v>
      </c>
      <c r="I227" s="54">
        <f>SUM(I228)</f>
        <v>1840</v>
      </c>
      <c r="J227" s="77">
        <f t="shared" si="42"/>
        <v>96.62343118206164</v>
      </c>
      <c r="K227" s="49"/>
      <c r="L227" s="50"/>
      <c r="M227" s="72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</row>
    <row r="228" spans="1:33" s="16" customFormat="1" ht="25.5">
      <c r="A228" s="23" t="s">
        <v>825</v>
      </c>
      <c r="B228" s="22" t="s">
        <v>145</v>
      </c>
      <c r="C228" s="23" t="s">
        <v>176</v>
      </c>
      <c r="D228" s="23" t="s">
        <v>212</v>
      </c>
      <c r="E228" s="23" t="s">
        <v>335</v>
      </c>
      <c r="F228" s="23" t="s">
        <v>102</v>
      </c>
      <c r="G228" s="58">
        <v>1413.2</v>
      </c>
      <c r="H228" s="58">
        <f>1413.2+491.1</f>
        <v>1904.3000000000002</v>
      </c>
      <c r="I228" s="58">
        <f>1839.9+0.1</f>
        <v>1840</v>
      </c>
      <c r="J228" s="77">
        <f t="shared" si="42"/>
        <v>96.62343118206164</v>
      </c>
      <c r="K228" s="49"/>
      <c r="L228" s="50"/>
      <c r="M228" s="72"/>
      <c r="N228" s="75">
        <v>594.7</v>
      </c>
      <c r="O228" s="75"/>
      <c r="P228" s="75"/>
      <c r="Q228" s="75"/>
      <c r="R228" s="75"/>
      <c r="S228" s="75"/>
      <c r="T228" s="75"/>
      <c r="U228" s="75"/>
      <c r="V228" s="75"/>
      <c r="W228" s="75"/>
      <c r="X228" s="75">
        <v>116</v>
      </c>
      <c r="Y228" s="75"/>
      <c r="Z228" s="75"/>
      <c r="AA228" s="75"/>
      <c r="AB228" s="75"/>
      <c r="AC228" s="75"/>
      <c r="AD228" s="75"/>
      <c r="AE228" s="75">
        <v>491.1</v>
      </c>
      <c r="AF228" s="75"/>
      <c r="AG228" s="75"/>
    </row>
    <row r="229" spans="1:33" s="16" customFormat="1" ht="12.75">
      <c r="A229" s="23" t="s">
        <v>826</v>
      </c>
      <c r="B229" s="25" t="s">
        <v>198</v>
      </c>
      <c r="C229" s="23" t="s">
        <v>176</v>
      </c>
      <c r="D229" s="23" t="s">
        <v>212</v>
      </c>
      <c r="E229" s="23" t="s">
        <v>335</v>
      </c>
      <c r="F229" s="23" t="s">
        <v>201</v>
      </c>
      <c r="G229" s="58">
        <f>G230</f>
        <v>2</v>
      </c>
      <c r="H229" s="58">
        <f>H230</f>
        <v>2</v>
      </c>
      <c r="I229" s="58">
        <f>I230</f>
        <v>0</v>
      </c>
      <c r="J229" s="77">
        <f t="shared" si="42"/>
        <v>0</v>
      </c>
      <c r="K229" s="49"/>
      <c r="L229" s="50"/>
      <c r="M229" s="72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</row>
    <row r="230" spans="1:33" s="16" customFormat="1" ht="12.75">
      <c r="A230" s="23" t="s">
        <v>827</v>
      </c>
      <c r="B230" s="25" t="s">
        <v>199</v>
      </c>
      <c r="C230" s="23" t="s">
        <v>176</v>
      </c>
      <c r="D230" s="23" t="s">
        <v>212</v>
      </c>
      <c r="E230" s="23" t="s">
        <v>335</v>
      </c>
      <c r="F230" s="23" t="s">
        <v>202</v>
      </c>
      <c r="G230" s="58">
        <v>2</v>
      </c>
      <c r="H230" s="58">
        <v>2</v>
      </c>
      <c r="I230" s="58">
        <v>0</v>
      </c>
      <c r="J230" s="77">
        <f t="shared" si="42"/>
        <v>0</v>
      </c>
      <c r="K230" s="49"/>
      <c r="L230" s="50"/>
      <c r="M230" s="72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>
        <v>1.5</v>
      </c>
      <c r="Y230" s="75"/>
      <c r="Z230" s="75"/>
      <c r="AA230" s="75"/>
      <c r="AB230" s="75"/>
      <c r="AC230" s="75"/>
      <c r="AD230" s="75"/>
      <c r="AE230" s="75"/>
      <c r="AF230" s="75"/>
      <c r="AG230" s="75"/>
    </row>
    <row r="231" spans="1:33" s="16" customFormat="1" ht="89.25">
      <c r="A231" s="23" t="s">
        <v>1027</v>
      </c>
      <c r="B231" s="25" t="s">
        <v>1425</v>
      </c>
      <c r="C231" s="23" t="s">
        <v>176</v>
      </c>
      <c r="D231" s="23" t="s">
        <v>212</v>
      </c>
      <c r="E231" s="23" t="s">
        <v>1426</v>
      </c>
      <c r="F231" s="23"/>
      <c r="G231" s="58">
        <f aca="true" t="shared" si="46" ref="G231:I232">SUM(G232)</f>
        <v>0</v>
      </c>
      <c r="H231" s="58">
        <f t="shared" si="46"/>
        <v>350</v>
      </c>
      <c r="I231" s="58">
        <f t="shared" si="46"/>
        <v>350</v>
      </c>
      <c r="J231" s="77">
        <f t="shared" si="42"/>
        <v>100</v>
      </c>
      <c r="K231" s="49"/>
      <c r="L231" s="50"/>
      <c r="M231" s="72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</row>
    <row r="232" spans="1:33" s="16" customFormat="1" ht="51">
      <c r="A232" s="23" t="s">
        <v>1028</v>
      </c>
      <c r="B232" s="25" t="s">
        <v>181</v>
      </c>
      <c r="C232" s="23" t="s">
        <v>176</v>
      </c>
      <c r="D232" s="23" t="s">
        <v>212</v>
      </c>
      <c r="E232" s="23" t="s">
        <v>1426</v>
      </c>
      <c r="F232" s="23" t="s">
        <v>179</v>
      </c>
      <c r="G232" s="58">
        <f>SUM(G233)</f>
        <v>0</v>
      </c>
      <c r="H232" s="58">
        <f>SUM(H233)</f>
        <v>350</v>
      </c>
      <c r="I232" s="58">
        <f t="shared" si="46"/>
        <v>350</v>
      </c>
      <c r="J232" s="77">
        <f t="shared" si="42"/>
        <v>100</v>
      </c>
      <c r="K232" s="49"/>
      <c r="L232" s="50"/>
      <c r="M232" s="72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</row>
    <row r="233" spans="1:33" s="16" customFormat="1" ht="12.75">
      <c r="A233" s="23" t="s">
        <v>1029</v>
      </c>
      <c r="B233" s="25" t="s">
        <v>182</v>
      </c>
      <c r="C233" s="23" t="s">
        <v>176</v>
      </c>
      <c r="D233" s="23" t="s">
        <v>212</v>
      </c>
      <c r="E233" s="23" t="s">
        <v>1426</v>
      </c>
      <c r="F233" s="23" t="s">
        <v>211</v>
      </c>
      <c r="G233" s="58">
        <v>0</v>
      </c>
      <c r="H233" s="58">
        <v>350</v>
      </c>
      <c r="I233" s="58">
        <v>350</v>
      </c>
      <c r="J233" s="77">
        <f t="shared" si="42"/>
        <v>100</v>
      </c>
      <c r="K233" s="49"/>
      <c r="L233" s="50"/>
      <c r="M233" s="72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</row>
    <row r="234" spans="1:33" s="16" customFormat="1" ht="38.25">
      <c r="A234" s="23" t="s">
        <v>828</v>
      </c>
      <c r="B234" s="22" t="s">
        <v>292</v>
      </c>
      <c r="C234" s="23" t="s">
        <v>176</v>
      </c>
      <c r="D234" s="23" t="s">
        <v>212</v>
      </c>
      <c r="E234" s="23" t="s">
        <v>327</v>
      </c>
      <c r="F234" s="23"/>
      <c r="G234" s="58">
        <f>G235+G239</f>
        <v>208.4</v>
      </c>
      <c r="H234" s="58">
        <f>H235+H239</f>
        <v>208.4</v>
      </c>
      <c r="I234" s="58">
        <f>I235+I239</f>
        <v>203.4</v>
      </c>
      <c r="J234" s="77">
        <f t="shared" si="42"/>
        <v>97.60076775431862</v>
      </c>
      <c r="K234" s="49"/>
      <c r="L234" s="50"/>
      <c r="M234" s="72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</row>
    <row r="235" spans="1:33" s="16" customFormat="1" ht="25.5">
      <c r="A235" s="23" t="s">
        <v>829</v>
      </c>
      <c r="B235" s="22" t="s">
        <v>183</v>
      </c>
      <c r="C235" s="23" t="s">
        <v>176</v>
      </c>
      <c r="D235" s="23" t="s">
        <v>212</v>
      </c>
      <c r="E235" s="23" t="s">
        <v>336</v>
      </c>
      <c r="F235" s="23"/>
      <c r="G235" s="58">
        <f>G236</f>
        <v>200</v>
      </c>
      <c r="H235" s="58">
        <f>H236</f>
        <v>197.5</v>
      </c>
      <c r="I235" s="58">
        <f>I236</f>
        <v>192.5</v>
      </c>
      <c r="J235" s="77">
        <f t="shared" si="42"/>
        <v>97.46835443037975</v>
      </c>
      <c r="K235" s="49"/>
      <c r="L235" s="50"/>
      <c r="M235" s="72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</row>
    <row r="236" spans="1:33" s="16" customFormat="1" ht="78" customHeight="1">
      <c r="A236" s="23" t="s">
        <v>830</v>
      </c>
      <c r="B236" s="22" t="s">
        <v>491</v>
      </c>
      <c r="C236" s="23" t="s">
        <v>176</v>
      </c>
      <c r="D236" s="23" t="s">
        <v>212</v>
      </c>
      <c r="E236" s="23" t="s">
        <v>736</v>
      </c>
      <c r="F236" s="23"/>
      <c r="G236" s="58">
        <f aca="true" t="shared" si="47" ref="G236:I237">G237</f>
        <v>200</v>
      </c>
      <c r="H236" s="58">
        <f t="shared" si="47"/>
        <v>197.5</v>
      </c>
      <c r="I236" s="58">
        <f t="shared" si="47"/>
        <v>192.5</v>
      </c>
      <c r="J236" s="77">
        <f t="shared" si="42"/>
        <v>97.46835443037975</v>
      </c>
      <c r="K236" s="49"/>
      <c r="L236" s="50"/>
      <c r="M236" s="72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>
        <v>200</v>
      </c>
      <c r="AA236" s="75"/>
      <c r="AB236" s="75"/>
      <c r="AC236" s="75"/>
      <c r="AD236" s="75"/>
      <c r="AE236" s="75"/>
      <c r="AF236" s="75"/>
      <c r="AG236" s="75"/>
    </row>
    <row r="237" spans="1:33" s="16" customFormat="1" ht="33.75" customHeight="1">
      <c r="A237" s="23" t="s">
        <v>831</v>
      </c>
      <c r="B237" s="22" t="s">
        <v>144</v>
      </c>
      <c r="C237" s="23" t="s">
        <v>176</v>
      </c>
      <c r="D237" s="23" t="s">
        <v>212</v>
      </c>
      <c r="E237" s="23" t="s">
        <v>736</v>
      </c>
      <c r="F237" s="23" t="s">
        <v>109</v>
      </c>
      <c r="G237" s="58">
        <f t="shared" si="47"/>
        <v>200</v>
      </c>
      <c r="H237" s="58">
        <f t="shared" si="47"/>
        <v>197.5</v>
      </c>
      <c r="I237" s="58">
        <f t="shared" si="47"/>
        <v>192.5</v>
      </c>
      <c r="J237" s="77">
        <f t="shared" si="42"/>
        <v>97.46835443037975</v>
      </c>
      <c r="K237" s="49"/>
      <c r="L237" s="50"/>
      <c r="M237" s="72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</row>
    <row r="238" spans="1:33" s="16" customFormat="1" ht="33" customHeight="1">
      <c r="A238" s="23" t="s">
        <v>429</v>
      </c>
      <c r="B238" s="22" t="s">
        <v>145</v>
      </c>
      <c r="C238" s="23" t="s">
        <v>176</v>
      </c>
      <c r="D238" s="23" t="s">
        <v>212</v>
      </c>
      <c r="E238" s="23" t="s">
        <v>736</v>
      </c>
      <c r="F238" s="23" t="s">
        <v>102</v>
      </c>
      <c r="G238" s="58">
        <v>200</v>
      </c>
      <c r="H238" s="58">
        <f>200-2.5-75+75</f>
        <v>197.5</v>
      </c>
      <c r="I238" s="58">
        <v>192.5</v>
      </c>
      <c r="J238" s="77">
        <f t="shared" si="42"/>
        <v>97.46835443037975</v>
      </c>
      <c r="K238" s="49"/>
      <c r="L238" s="49">
        <v>150</v>
      </c>
      <c r="M238" s="72"/>
      <c r="N238" s="75">
        <f>14.5-71.8</f>
        <v>-57.3</v>
      </c>
      <c r="O238" s="75"/>
      <c r="P238" s="75"/>
      <c r="Q238" s="75"/>
      <c r="R238" s="75"/>
      <c r="S238" s="75"/>
      <c r="T238" s="75"/>
      <c r="U238" s="75">
        <v>150</v>
      </c>
      <c r="V238" s="75"/>
      <c r="W238" s="75"/>
      <c r="X238" s="75">
        <v>-85</v>
      </c>
      <c r="Y238" s="75"/>
      <c r="Z238" s="75"/>
      <c r="AA238" s="75"/>
      <c r="AB238" s="75">
        <v>200</v>
      </c>
      <c r="AC238" s="75"/>
      <c r="AD238" s="75"/>
      <c r="AE238" s="75">
        <v>-2.5</v>
      </c>
      <c r="AF238" s="75">
        <f>-75+75</f>
        <v>0</v>
      </c>
      <c r="AG238" s="75"/>
    </row>
    <row r="239" spans="1:33" s="16" customFormat="1" ht="33" customHeight="1">
      <c r="A239" s="23" t="s">
        <v>430</v>
      </c>
      <c r="B239" s="22" t="s">
        <v>306</v>
      </c>
      <c r="C239" s="23" t="s">
        <v>176</v>
      </c>
      <c r="D239" s="23" t="s">
        <v>212</v>
      </c>
      <c r="E239" s="23" t="s">
        <v>348</v>
      </c>
      <c r="F239" s="23"/>
      <c r="G239" s="58">
        <f>SUM(G240)</f>
        <v>8.4</v>
      </c>
      <c r="H239" s="58">
        <f>SUM(H240)</f>
        <v>10.9</v>
      </c>
      <c r="I239" s="58">
        <f>SUM(I240)</f>
        <v>10.9</v>
      </c>
      <c r="J239" s="77">
        <f t="shared" si="42"/>
        <v>100</v>
      </c>
      <c r="K239" s="49"/>
      <c r="L239" s="50"/>
      <c r="M239" s="72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</row>
    <row r="240" spans="1:33" s="16" customFormat="1" ht="25.5">
      <c r="A240" s="23" t="s">
        <v>431</v>
      </c>
      <c r="B240" s="22" t="s">
        <v>307</v>
      </c>
      <c r="C240" s="23" t="s">
        <v>176</v>
      </c>
      <c r="D240" s="23" t="s">
        <v>212</v>
      </c>
      <c r="E240" s="23" t="s">
        <v>738</v>
      </c>
      <c r="F240" s="23"/>
      <c r="G240" s="58">
        <f aca="true" t="shared" si="48" ref="G240:I241">SUM(G241)</f>
        <v>8.4</v>
      </c>
      <c r="H240" s="58">
        <f t="shared" si="48"/>
        <v>10.9</v>
      </c>
      <c r="I240" s="58">
        <f t="shared" si="48"/>
        <v>10.9</v>
      </c>
      <c r="J240" s="77">
        <f t="shared" si="42"/>
        <v>100</v>
      </c>
      <c r="K240" s="49"/>
      <c r="L240" s="50"/>
      <c r="M240" s="72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</row>
    <row r="241" spans="1:33" s="16" customFormat="1" ht="25.5">
      <c r="A241" s="23" t="s">
        <v>604</v>
      </c>
      <c r="B241" s="22" t="s">
        <v>144</v>
      </c>
      <c r="C241" s="23" t="s">
        <v>176</v>
      </c>
      <c r="D241" s="23" t="s">
        <v>212</v>
      </c>
      <c r="E241" s="23" t="s">
        <v>738</v>
      </c>
      <c r="F241" s="23" t="s">
        <v>109</v>
      </c>
      <c r="G241" s="58">
        <f t="shared" si="48"/>
        <v>8.4</v>
      </c>
      <c r="H241" s="58">
        <f t="shared" si="48"/>
        <v>10.9</v>
      </c>
      <c r="I241" s="58">
        <f t="shared" si="48"/>
        <v>10.9</v>
      </c>
      <c r="J241" s="77">
        <f t="shared" si="42"/>
        <v>100</v>
      </c>
      <c r="K241" s="49"/>
      <c r="L241" s="50"/>
      <c r="M241" s="72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</row>
    <row r="242" spans="1:33" s="16" customFormat="1" ht="39.75" customHeight="1">
      <c r="A242" s="23" t="s">
        <v>605</v>
      </c>
      <c r="B242" s="22" t="s">
        <v>145</v>
      </c>
      <c r="C242" s="23" t="s">
        <v>176</v>
      </c>
      <c r="D242" s="23" t="s">
        <v>212</v>
      </c>
      <c r="E242" s="23" t="s">
        <v>738</v>
      </c>
      <c r="F242" s="23" t="s">
        <v>102</v>
      </c>
      <c r="G242" s="58">
        <v>8.4</v>
      </c>
      <c r="H242" s="58">
        <f>8.4+2.5</f>
        <v>10.9</v>
      </c>
      <c r="I242" s="58">
        <v>10.9</v>
      </c>
      <c r="J242" s="77">
        <f t="shared" si="42"/>
        <v>100</v>
      </c>
      <c r="K242" s="49"/>
      <c r="L242" s="50"/>
      <c r="M242" s="72"/>
      <c r="N242" s="75">
        <v>-15.7</v>
      </c>
      <c r="O242" s="75"/>
      <c r="P242" s="75"/>
      <c r="Q242" s="75"/>
      <c r="R242" s="75"/>
      <c r="S242" s="75"/>
      <c r="T242" s="75"/>
      <c r="U242" s="75">
        <v>8.4</v>
      </c>
      <c r="V242" s="75"/>
      <c r="W242" s="75"/>
      <c r="X242" s="75"/>
      <c r="Y242" s="75"/>
      <c r="Z242" s="75">
        <v>8.4</v>
      </c>
      <c r="AA242" s="75"/>
      <c r="AB242" s="75">
        <v>8.4</v>
      </c>
      <c r="AC242" s="75"/>
      <c r="AD242" s="75"/>
      <c r="AE242" s="75">
        <v>2.5</v>
      </c>
      <c r="AF242" s="75"/>
      <c r="AG242" s="75"/>
    </row>
    <row r="243" spans="1:33" s="16" customFormat="1" ht="25.5">
      <c r="A243" s="23" t="s">
        <v>606</v>
      </c>
      <c r="B243" s="24" t="s">
        <v>218</v>
      </c>
      <c r="C243" s="23" t="s">
        <v>176</v>
      </c>
      <c r="D243" s="23" t="s">
        <v>212</v>
      </c>
      <c r="E243" s="99" t="s">
        <v>312</v>
      </c>
      <c r="F243" s="23"/>
      <c r="G243" s="58">
        <f>G244</f>
        <v>907.9</v>
      </c>
      <c r="H243" s="58">
        <f>H244</f>
        <v>934.3000000000001</v>
      </c>
      <c r="I243" s="58">
        <f>I244</f>
        <v>934.3</v>
      </c>
      <c r="J243" s="77">
        <f t="shared" si="42"/>
        <v>99.99999999999999</v>
      </c>
      <c r="K243" s="49"/>
      <c r="L243" s="50"/>
      <c r="M243" s="72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</row>
    <row r="244" spans="1:33" s="16" customFormat="1" ht="23.25" customHeight="1">
      <c r="A244" s="23" t="s">
        <v>517</v>
      </c>
      <c r="B244" s="24" t="s">
        <v>219</v>
      </c>
      <c r="C244" s="23" t="s">
        <v>176</v>
      </c>
      <c r="D244" s="23" t="s">
        <v>212</v>
      </c>
      <c r="E244" s="99" t="s">
        <v>328</v>
      </c>
      <c r="F244" s="23"/>
      <c r="G244" s="58">
        <f>G250+G245</f>
        <v>907.9</v>
      </c>
      <c r="H244" s="58">
        <f>H250+H245</f>
        <v>934.3000000000001</v>
      </c>
      <c r="I244" s="58">
        <f>I250+I245</f>
        <v>934.3</v>
      </c>
      <c r="J244" s="77">
        <f t="shared" si="42"/>
        <v>99.99999999999999</v>
      </c>
      <c r="K244" s="49"/>
      <c r="L244" s="50"/>
      <c r="M244" s="72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</row>
    <row r="245" spans="1:33" s="16" customFormat="1" ht="63.75">
      <c r="A245" s="23" t="s">
        <v>518</v>
      </c>
      <c r="B245" s="25" t="s">
        <v>492</v>
      </c>
      <c r="C245" s="23" t="s">
        <v>176</v>
      </c>
      <c r="D245" s="23" t="s">
        <v>212</v>
      </c>
      <c r="E245" s="99" t="s">
        <v>330</v>
      </c>
      <c r="F245" s="23"/>
      <c r="G245" s="58">
        <f>SUM(G246+G248)</f>
        <v>41.9</v>
      </c>
      <c r="H245" s="58">
        <f>SUM(H246+H248)</f>
        <v>43.1</v>
      </c>
      <c r="I245" s="58">
        <f>SUM(I246+I248)</f>
        <v>43.1</v>
      </c>
      <c r="J245" s="77">
        <f t="shared" si="42"/>
        <v>100</v>
      </c>
      <c r="K245" s="49">
        <v>27.6</v>
      </c>
      <c r="L245" s="50"/>
      <c r="M245" s="72"/>
      <c r="N245" s="75"/>
      <c r="O245" s="75"/>
      <c r="P245" s="75"/>
      <c r="Q245" s="75"/>
      <c r="R245" s="75"/>
      <c r="S245" s="75"/>
      <c r="T245" s="75">
        <v>35.2</v>
      </c>
      <c r="U245" s="75"/>
      <c r="V245" s="75"/>
      <c r="W245" s="75"/>
      <c r="X245" s="75"/>
      <c r="Y245" s="75"/>
      <c r="Z245" s="75"/>
      <c r="AA245" s="75">
        <v>35.3</v>
      </c>
      <c r="AB245" s="75"/>
      <c r="AC245" s="75">
        <v>41.9</v>
      </c>
      <c r="AD245" s="75"/>
      <c r="AE245" s="75"/>
      <c r="AF245" s="75"/>
      <c r="AG245" s="75"/>
    </row>
    <row r="246" spans="1:33" s="16" customFormat="1" ht="51">
      <c r="A246" s="23" t="s">
        <v>519</v>
      </c>
      <c r="B246" s="25" t="s">
        <v>181</v>
      </c>
      <c r="C246" s="23" t="s">
        <v>176</v>
      </c>
      <c r="D246" s="23" t="s">
        <v>212</v>
      </c>
      <c r="E246" s="99" t="s">
        <v>330</v>
      </c>
      <c r="F246" s="23" t="s">
        <v>179</v>
      </c>
      <c r="G246" s="58">
        <f>SUM(G247)</f>
        <v>40</v>
      </c>
      <c r="H246" s="58">
        <f>SUM(H247)</f>
        <v>41.2</v>
      </c>
      <c r="I246" s="58">
        <f>SUM(I247)</f>
        <v>41.2</v>
      </c>
      <c r="J246" s="77">
        <f t="shared" si="42"/>
        <v>100</v>
      </c>
      <c r="K246" s="49"/>
      <c r="L246" s="50"/>
      <c r="M246" s="72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</row>
    <row r="247" spans="1:33" s="16" customFormat="1" ht="25.5">
      <c r="A247" s="23" t="s">
        <v>385</v>
      </c>
      <c r="B247" s="25" t="s">
        <v>300</v>
      </c>
      <c r="C247" s="23" t="s">
        <v>176</v>
      </c>
      <c r="D247" s="23" t="s">
        <v>212</v>
      </c>
      <c r="E247" s="99" t="s">
        <v>330</v>
      </c>
      <c r="F247" s="23" t="s">
        <v>180</v>
      </c>
      <c r="G247" s="58">
        <v>40</v>
      </c>
      <c r="H247" s="58">
        <f>40+1.2</f>
        <v>41.2</v>
      </c>
      <c r="I247" s="58">
        <v>41.2</v>
      </c>
      <c r="J247" s="77">
        <f t="shared" si="42"/>
        <v>100</v>
      </c>
      <c r="K247" s="49"/>
      <c r="L247" s="50"/>
      <c r="M247" s="72">
        <v>-1.8</v>
      </c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</row>
    <row r="248" spans="1:33" s="16" customFormat="1" ht="25.5">
      <c r="A248" s="23" t="s">
        <v>102</v>
      </c>
      <c r="B248" s="22" t="s">
        <v>144</v>
      </c>
      <c r="C248" s="23" t="s">
        <v>176</v>
      </c>
      <c r="D248" s="23" t="s">
        <v>212</v>
      </c>
      <c r="E248" s="99" t="s">
        <v>330</v>
      </c>
      <c r="F248" s="23" t="s">
        <v>109</v>
      </c>
      <c r="G248" s="58">
        <f>SUM(G249)</f>
        <v>1.9</v>
      </c>
      <c r="H248" s="58">
        <f>SUM(H249)</f>
        <v>1.9</v>
      </c>
      <c r="I248" s="58">
        <f>SUM(I249)</f>
        <v>1.9</v>
      </c>
      <c r="J248" s="77">
        <f t="shared" si="42"/>
        <v>100</v>
      </c>
      <c r="K248" s="49"/>
      <c r="L248" s="50"/>
      <c r="M248" s="72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</row>
    <row r="249" spans="1:33" s="16" customFormat="1" ht="25.5">
      <c r="A249" s="23" t="s">
        <v>1030</v>
      </c>
      <c r="B249" s="22" t="s">
        <v>145</v>
      </c>
      <c r="C249" s="23" t="s">
        <v>176</v>
      </c>
      <c r="D249" s="23" t="s">
        <v>212</v>
      </c>
      <c r="E249" s="99" t="s">
        <v>330</v>
      </c>
      <c r="F249" s="23" t="s">
        <v>102</v>
      </c>
      <c r="G249" s="58">
        <v>1.9</v>
      </c>
      <c r="H249" s="58">
        <v>1.9</v>
      </c>
      <c r="I249" s="58">
        <v>1.9</v>
      </c>
      <c r="J249" s="77">
        <f t="shared" si="42"/>
        <v>100</v>
      </c>
      <c r="K249" s="49"/>
      <c r="L249" s="50"/>
      <c r="M249" s="72">
        <v>1.8</v>
      </c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</row>
    <row r="250" spans="1:33" s="16" customFormat="1" ht="51">
      <c r="A250" s="23" t="s">
        <v>1031</v>
      </c>
      <c r="B250" s="22" t="s">
        <v>493</v>
      </c>
      <c r="C250" s="23" t="s">
        <v>176</v>
      </c>
      <c r="D250" s="23" t="s">
        <v>212</v>
      </c>
      <c r="E250" s="99" t="s">
        <v>370</v>
      </c>
      <c r="F250" s="23"/>
      <c r="G250" s="58">
        <f>G251+G253</f>
        <v>866</v>
      </c>
      <c r="H250" s="58">
        <f>H251+H253</f>
        <v>891.2</v>
      </c>
      <c r="I250" s="58">
        <f>I251+I253</f>
        <v>891.1999999999999</v>
      </c>
      <c r="J250" s="77">
        <f t="shared" si="42"/>
        <v>99.99999999999999</v>
      </c>
      <c r="K250" s="49">
        <v>575.2</v>
      </c>
      <c r="L250" s="50"/>
      <c r="M250" s="72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>
        <v>732.2</v>
      </c>
      <c r="AB250" s="75"/>
      <c r="AC250" s="75">
        <v>866</v>
      </c>
      <c r="AD250" s="75"/>
      <c r="AE250" s="75"/>
      <c r="AF250" s="75"/>
      <c r="AG250" s="75"/>
    </row>
    <row r="251" spans="1:33" s="16" customFormat="1" ht="51">
      <c r="A251" s="23" t="s">
        <v>676</v>
      </c>
      <c r="B251" s="25" t="s">
        <v>181</v>
      </c>
      <c r="C251" s="23" t="s">
        <v>176</v>
      </c>
      <c r="D251" s="23" t="s">
        <v>212</v>
      </c>
      <c r="E251" s="99" t="s">
        <v>370</v>
      </c>
      <c r="F251" s="23" t="s">
        <v>179</v>
      </c>
      <c r="G251" s="58">
        <f>G252</f>
        <v>804.7</v>
      </c>
      <c r="H251" s="58">
        <f>H252</f>
        <v>829.9000000000001</v>
      </c>
      <c r="I251" s="58">
        <f>I252</f>
        <v>829.9</v>
      </c>
      <c r="J251" s="77">
        <f t="shared" si="42"/>
        <v>99.99999999999999</v>
      </c>
      <c r="K251" s="49"/>
      <c r="L251" s="50"/>
      <c r="M251" s="72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</row>
    <row r="252" spans="1:33" s="16" customFormat="1" ht="25.5">
      <c r="A252" s="23" t="s">
        <v>53</v>
      </c>
      <c r="B252" s="25" t="s">
        <v>300</v>
      </c>
      <c r="C252" s="23" t="s">
        <v>176</v>
      </c>
      <c r="D252" s="23" t="s">
        <v>212</v>
      </c>
      <c r="E252" s="99" t="s">
        <v>370</v>
      </c>
      <c r="F252" s="23" t="s">
        <v>180</v>
      </c>
      <c r="G252" s="58">
        <v>804.7</v>
      </c>
      <c r="H252" s="58">
        <f>804.7+25.2</f>
        <v>829.9000000000001</v>
      </c>
      <c r="I252" s="58">
        <v>829.9</v>
      </c>
      <c r="J252" s="77">
        <f t="shared" si="42"/>
        <v>99.99999999999999</v>
      </c>
      <c r="K252" s="49"/>
      <c r="L252" s="50"/>
      <c r="M252" s="72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</row>
    <row r="253" spans="1:33" s="16" customFormat="1" ht="25.5">
      <c r="A253" s="23" t="s">
        <v>54</v>
      </c>
      <c r="B253" s="22" t="s">
        <v>144</v>
      </c>
      <c r="C253" s="23" t="s">
        <v>176</v>
      </c>
      <c r="D253" s="23" t="s">
        <v>212</v>
      </c>
      <c r="E253" s="99" t="s">
        <v>370</v>
      </c>
      <c r="F253" s="23" t="s">
        <v>109</v>
      </c>
      <c r="G253" s="58">
        <f>G254</f>
        <v>61.3</v>
      </c>
      <c r="H253" s="58">
        <f>H254</f>
        <v>61.3</v>
      </c>
      <c r="I253" s="58">
        <f>I254</f>
        <v>61.3</v>
      </c>
      <c r="J253" s="77">
        <f t="shared" si="42"/>
        <v>100</v>
      </c>
      <c r="K253" s="49"/>
      <c r="L253" s="50"/>
      <c r="M253" s="72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</row>
    <row r="254" spans="1:33" s="16" customFormat="1" ht="25.5">
      <c r="A254" s="23" t="s">
        <v>55</v>
      </c>
      <c r="B254" s="22" t="s">
        <v>145</v>
      </c>
      <c r="C254" s="23" t="s">
        <v>176</v>
      </c>
      <c r="D254" s="23" t="s">
        <v>212</v>
      </c>
      <c r="E254" s="99" t="s">
        <v>370</v>
      </c>
      <c r="F254" s="23" t="s">
        <v>102</v>
      </c>
      <c r="G254" s="58">
        <v>61.3</v>
      </c>
      <c r="H254" s="58">
        <v>61.3</v>
      </c>
      <c r="I254" s="58">
        <v>61.3</v>
      </c>
      <c r="J254" s="77">
        <f t="shared" si="42"/>
        <v>100</v>
      </c>
      <c r="K254" s="49"/>
      <c r="L254" s="50"/>
      <c r="M254" s="72"/>
      <c r="N254" s="75"/>
      <c r="O254" s="75"/>
      <c r="P254" s="75"/>
      <c r="Q254" s="75"/>
      <c r="R254" s="75"/>
      <c r="S254" s="75"/>
      <c r="T254" s="75">
        <v>729.9</v>
      </c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</row>
    <row r="255" spans="1:33" s="16" customFormat="1" ht="21" customHeight="1">
      <c r="A255" s="23" t="s">
        <v>386</v>
      </c>
      <c r="B255" s="34" t="s">
        <v>256</v>
      </c>
      <c r="C255" s="31" t="s">
        <v>176</v>
      </c>
      <c r="D255" s="31" t="s">
        <v>276</v>
      </c>
      <c r="E255" s="100"/>
      <c r="F255" s="31"/>
      <c r="G255" s="79">
        <f>G256+G291</f>
        <v>5120.2</v>
      </c>
      <c r="H255" s="79">
        <f>H256+H291</f>
        <v>6000.2</v>
      </c>
      <c r="I255" s="79">
        <f>I256+I291</f>
        <v>5956.2</v>
      </c>
      <c r="J255" s="77">
        <f t="shared" si="42"/>
        <v>99.26669111029632</v>
      </c>
      <c r="K255" s="49"/>
      <c r="L255" s="50"/>
      <c r="M255" s="72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</row>
    <row r="256" spans="1:33" s="15" customFormat="1" ht="25.5" customHeight="1">
      <c r="A256" s="23" t="s">
        <v>387</v>
      </c>
      <c r="B256" s="35" t="s">
        <v>1182</v>
      </c>
      <c r="C256" s="36" t="s">
        <v>176</v>
      </c>
      <c r="D256" s="36" t="s">
        <v>277</v>
      </c>
      <c r="E256" s="101"/>
      <c r="F256" s="36"/>
      <c r="G256" s="80">
        <f>G257+G286</f>
        <v>5040.2</v>
      </c>
      <c r="H256" s="80">
        <f>H257+H286</f>
        <v>5920.2</v>
      </c>
      <c r="I256" s="80">
        <f>I257+I286</f>
        <v>5876.2</v>
      </c>
      <c r="J256" s="77">
        <f t="shared" si="42"/>
        <v>99.25678186547752</v>
      </c>
      <c r="K256" s="47"/>
      <c r="L256" s="48"/>
      <c r="M256" s="86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</row>
    <row r="257" spans="1:33" s="16" customFormat="1" ht="38.25">
      <c r="A257" s="23" t="s">
        <v>388</v>
      </c>
      <c r="B257" s="24" t="s">
        <v>257</v>
      </c>
      <c r="C257" s="23" t="s">
        <v>176</v>
      </c>
      <c r="D257" s="23" t="s">
        <v>277</v>
      </c>
      <c r="E257" s="23" t="s">
        <v>337</v>
      </c>
      <c r="F257" s="23"/>
      <c r="G257" s="58">
        <f>G258+G279+G275</f>
        <v>5040.2</v>
      </c>
      <c r="H257" s="58">
        <f>H258+H279+H275</f>
        <v>5040.2</v>
      </c>
      <c r="I257" s="58">
        <f>I258+I279+I275</f>
        <v>4996.2</v>
      </c>
      <c r="J257" s="77">
        <f aca="true" t="shared" si="49" ref="J257:J314">I257/H257*100</f>
        <v>99.12701876909647</v>
      </c>
      <c r="K257" s="49"/>
      <c r="L257" s="50"/>
      <c r="M257" s="72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</row>
    <row r="258" spans="1:33" s="16" customFormat="1" ht="51">
      <c r="A258" s="23" t="s">
        <v>882</v>
      </c>
      <c r="B258" s="24" t="s">
        <v>258</v>
      </c>
      <c r="C258" s="23" t="s">
        <v>176</v>
      </c>
      <c r="D258" s="23" t="s">
        <v>277</v>
      </c>
      <c r="E258" s="23" t="s">
        <v>338</v>
      </c>
      <c r="F258" s="23"/>
      <c r="G258" s="58">
        <f>G269+G272+G259+G266</f>
        <v>4190.2</v>
      </c>
      <c r="H258" s="58">
        <f>H269+H272+H259+H266</f>
        <v>4190.2</v>
      </c>
      <c r="I258" s="58">
        <f>I269+I272+I259+I266</f>
        <v>4152.7</v>
      </c>
      <c r="J258" s="77">
        <f t="shared" si="49"/>
        <v>99.1050546513293</v>
      </c>
      <c r="K258" s="49"/>
      <c r="L258" s="50"/>
      <c r="M258" s="72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</row>
    <row r="259" spans="1:33" s="16" customFormat="1" ht="102">
      <c r="A259" s="23" t="s">
        <v>883</v>
      </c>
      <c r="B259" s="22" t="s">
        <v>746</v>
      </c>
      <c r="C259" s="23" t="s">
        <v>176</v>
      </c>
      <c r="D259" s="23" t="s">
        <v>277</v>
      </c>
      <c r="E259" s="23" t="s">
        <v>747</v>
      </c>
      <c r="F259" s="23"/>
      <c r="G259" s="58">
        <f>G260+G262+G264</f>
        <v>3598.2999999999997</v>
      </c>
      <c r="H259" s="58">
        <f>H260+H262+H264</f>
        <v>3598.2999999999997</v>
      </c>
      <c r="I259" s="58">
        <f>I260+I262+I264</f>
        <v>3560.8</v>
      </c>
      <c r="J259" s="77">
        <f t="shared" si="49"/>
        <v>98.95784120279022</v>
      </c>
      <c r="K259" s="49"/>
      <c r="L259" s="50"/>
      <c r="M259" s="72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>
        <v>2339.4</v>
      </c>
      <c r="AA259" s="75"/>
      <c r="AB259" s="75">
        <v>3598.3</v>
      </c>
      <c r="AC259" s="75"/>
      <c r="AD259" s="75"/>
      <c r="AE259" s="75"/>
      <c r="AF259" s="75"/>
      <c r="AG259" s="75"/>
    </row>
    <row r="260" spans="1:33" s="16" customFormat="1" ht="51">
      <c r="A260" s="23" t="s">
        <v>884</v>
      </c>
      <c r="B260" s="25" t="s">
        <v>181</v>
      </c>
      <c r="C260" s="23" t="s">
        <v>176</v>
      </c>
      <c r="D260" s="23" t="s">
        <v>277</v>
      </c>
      <c r="E260" s="23" t="s">
        <v>747</v>
      </c>
      <c r="F260" s="23" t="s">
        <v>179</v>
      </c>
      <c r="G260" s="58">
        <f>G261</f>
        <v>3535</v>
      </c>
      <c r="H260" s="58">
        <f>H261</f>
        <v>3535</v>
      </c>
      <c r="I260" s="58">
        <f>I261</f>
        <v>3535</v>
      </c>
      <c r="J260" s="77">
        <f t="shared" si="49"/>
        <v>100</v>
      </c>
      <c r="K260" s="49"/>
      <c r="L260" s="50"/>
      <c r="M260" s="72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</row>
    <row r="261" spans="1:33" s="16" customFormat="1" ht="22.5" customHeight="1">
      <c r="A261" s="23" t="s">
        <v>520</v>
      </c>
      <c r="B261" s="25" t="s">
        <v>182</v>
      </c>
      <c r="C261" s="23" t="s">
        <v>176</v>
      </c>
      <c r="D261" s="23" t="s">
        <v>277</v>
      </c>
      <c r="E261" s="23" t="s">
        <v>747</v>
      </c>
      <c r="F261" s="23" t="s">
        <v>211</v>
      </c>
      <c r="G261" s="58">
        <v>3535</v>
      </c>
      <c r="H261" s="58">
        <v>3535</v>
      </c>
      <c r="I261" s="58">
        <v>3535</v>
      </c>
      <c r="J261" s="77">
        <f t="shared" si="49"/>
        <v>100</v>
      </c>
      <c r="K261" s="49"/>
      <c r="L261" s="50"/>
      <c r="M261" s="72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>
        <v>16</v>
      </c>
      <c r="Y261" s="75"/>
      <c r="Z261" s="75"/>
      <c r="AA261" s="75"/>
      <c r="AB261" s="75"/>
      <c r="AC261" s="75"/>
      <c r="AD261" s="75"/>
      <c r="AE261" s="75"/>
      <c r="AF261" s="75"/>
      <c r="AG261" s="75"/>
    </row>
    <row r="262" spans="1:33" s="16" customFormat="1" ht="25.5">
      <c r="A262" s="23" t="s">
        <v>521</v>
      </c>
      <c r="B262" s="22" t="s">
        <v>144</v>
      </c>
      <c r="C262" s="23" t="s">
        <v>176</v>
      </c>
      <c r="D262" s="23" t="s">
        <v>277</v>
      </c>
      <c r="E262" s="23" t="s">
        <v>747</v>
      </c>
      <c r="F262" s="23" t="s">
        <v>109</v>
      </c>
      <c r="G262" s="58">
        <f>G263</f>
        <v>63.2</v>
      </c>
      <c r="H262" s="58">
        <f>H263</f>
        <v>63.2</v>
      </c>
      <c r="I262" s="58">
        <f>I263</f>
        <v>25.8</v>
      </c>
      <c r="J262" s="77">
        <f t="shared" si="49"/>
        <v>40.822784810126585</v>
      </c>
      <c r="K262" s="49"/>
      <c r="L262" s="50"/>
      <c r="M262" s="72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</row>
    <row r="263" spans="1:33" s="16" customFormat="1" ht="30.75" customHeight="1">
      <c r="A263" s="23" t="s">
        <v>127</v>
      </c>
      <c r="B263" s="22" t="s">
        <v>145</v>
      </c>
      <c r="C263" s="23" t="s">
        <v>176</v>
      </c>
      <c r="D263" s="23" t="s">
        <v>277</v>
      </c>
      <c r="E263" s="23" t="s">
        <v>747</v>
      </c>
      <c r="F263" s="23" t="s">
        <v>102</v>
      </c>
      <c r="G263" s="58">
        <v>63.2</v>
      </c>
      <c r="H263" s="58">
        <v>63.2</v>
      </c>
      <c r="I263" s="58">
        <v>25.8</v>
      </c>
      <c r="J263" s="77">
        <f t="shared" si="49"/>
        <v>40.822784810126585</v>
      </c>
      <c r="K263" s="49"/>
      <c r="L263" s="50"/>
      <c r="M263" s="72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>
        <f>-1-16</f>
        <v>-17</v>
      </c>
      <c r="Y263" s="75"/>
      <c r="Z263" s="75"/>
      <c r="AA263" s="75"/>
      <c r="AB263" s="75"/>
      <c r="AC263" s="75"/>
      <c r="AD263" s="75"/>
      <c r="AE263" s="75"/>
      <c r="AF263" s="75"/>
      <c r="AG263" s="75"/>
    </row>
    <row r="264" spans="1:33" s="16" customFormat="1" ht="19.5" customHeight="1">
      <c r="A264" s="23" t="s">
        <v>432</v>
      </c>
      <c r="B264" s="25" t="s">
        <v>198</v>
      </c>
      <c r="C264" s="23" t="s">
        <v>176</v>
      </c>
      <c r="D264" s="23" t="s">
        <v>277</v>
      </c>
      <c r="E264" s="23" t="s">
        <v>747</v>
      </c>
      <c r="F264" s="23" t="s">
        <v>201</v>
      </c>
      <c r="G264" s="58">
        <f>G265</f>
        <v>0.1</v>
      </c>
      <c r="H264" s="58">
        <f>H265</f>
        <v>0.1</v>
      </c>
      <c r="I264" s="58">
        <f>I265</f>
        <v>0</v>
      </c>
      <c r="J264" s="77">
        <f t="shared" si="49"/>
        <v>0</v>
      </c>
      <c r="K264" s="49"/>
      <c r="L264" s="50"/>
      <c r="M264" s="72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</row>
    <row r="265" spans="1:33" s="16" customFormat="1" ht="21.75" customHeight="1">
      <c r="A265" s="23" t="s">
        <v>433</v>
      </c>
      <c r="B265" s="25" t="s">
        <v>199</v>
      </c>
      <c r="C265" s="23" t="s">
        <v>176</v>
      </c>
      <c r="D265" s="23" t="s">
        <v>277</v>
      </c>
      <c r="E265" s="23" t="s">
        <v>747</v>
      </c>
      <c r="F265" s="23" t="s">
        <v>202</v>
      </c>
      <c r="G265" s="58">
        <v>0.1</v>
      </c>
      <c r="H265" s="58">
        <v>0.1</v>
      </c>
      <c r="I265" s="58">
        <v>0</v>
      </c>
      <c r="J265" s="77">
        <f t="shared" si="49"/>
        <v>0</v>
      </c>
      <c r="K265" s="49"/>
      <c r="L265" s="50"/>
      <c r="M265" s="72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>
        <v>1</v>
      </c>
      <c r="Y265" s="75"/>
      <c r="Z265" s="75"/>
      <c r="AA265" s="75"/>
      <c r="AB265" s="75"/>
      <c r="AC265" s="75"/>
      <c r="AD265" s="75"/>
      <c r="AE265" s="75"/>
      <c r="AF265" s="75"/>
      <c r="AG265" s="75"/>
    </row>
    <row r="266" spans="1:33" s="16" customFormat="1" ht="135" customHeight="1">
      <c r="A266" s="23" t="s">
        <v>434</v>
      </c>
      <c r="B266" s="22" t="s">
        <v>748</v>
      </c>
      <c r="C266" s="23" t="s">
        <v>176</v>
      </c>
      <c r="D266" s="23" t="s">
        <v>277</v>
      </c>
      <c r="E266" s="23" t="s">
        <v>578</v>
      </c>
      <c r="F266" s="23"/>
      <c r="G266" s="58">
        <f aca="true" t="shared" si="50" ref="G266:I267">SUM(G267)</f>
        <v>417.9</v>
      </c>
      <c r="H266" s="58">
        <f t="shared" si="50"/>
        <v>417.9</v>
      </c>
      <c r="I266" s="58">
        <f t="shared" si="50"/>
        <v>417.9</v>
      </c>
      <c r="J266" s="77">
        <f t="shared" si="49"/>
        <v>100</v>
      </c>
      <c r="K266" s="49"/>
      <c r="L266" s="50"/>
      <c r="M266" s="72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>
        <v>815.8</v>
      </c>
      <c r="AA266" s="75"/>
      <c r="AB266" s="75"/>
      <c r="AC266" s="75"/>
      <c r="AD266" s="75"/>
      <c r="AE266" s="75"/>
      <c r="AF266" s="75"/>
      <c r="AG266" s="75"/>
    </row>
    <row r="267" spans="1:33" s="16" customFormat="1" ht="56.25" customHeight="1">
      <c r="A267" s="23" t="s">
        <v>128</v>
      </c>
      <c r="B267" s="25" t="s">
        <v>181</v>
      </c>
      <c r="C267" s="23" t="s">
        <v>176</v>
      </c>
      <c r="D267" s="23" t="s">
        <v>277</v>
      </c>
      <c r="E267" s="23" t="s">
        <v>578</v>
      </c>
      <c r="F267" s="23" t="s">
        <v>179</v>
      </c>
      <c r="G267" s="58">
        <f t="shared" si="50"/>
        <v>417.9</v>
      </c>
      <c r="H267" s="58">
        <f t="shared" si="50"/>
        <v>417.9</v>
      </c>
      <c r="I267" s="58">
        <f t="shared" si="50"/>
        <v>417.9</v>
      </c>
      <c r="J267" s="77">
        <f t="shared" si="49"/>
        <v>100</v>
      </c>
      <c r="K267" s="49"/>
      <c r="L267" s="50"/>
      <c r="M267" s="72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</row>
    <row r="268" spans="1:33" s="16" customFormat="1" ht="25.5" customHeight="1">
      <c r="A268" s="23" t="s">
        <v>129</v>
      </c>
      <c r="B268" s="25" t="s">
        <v>182</v>
      </c>
      <c r="C268" s="23" t="s">
        <v>176</v>
      </c>
      <c r="D268" s="23" t="s">
        <v>277</v>
      </c>
      <c r="E268" s="23" t="s">
        <v>578</v>
      </c>
      <c r="F268" s="23" t="s">
        <v>211</v>
      </c>
      <c r="G268" s="58">
        <v>417.9</v>
      </c>
      <c r="H268" s="58">
        <v>417.9</v>
      </c>
      <c r="I268" s="58">
        <v>417.9</v>
      </c>
      <c r="J268" s="77">
        <f t="shared" si="49"/>
        <v>100</v>
      </c>
      <c r="K268" s="49"/>
      <c r="L268" s="50"/>
      <c r="M268" s="72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>
        <v>417.9</v>
      </c>
      <c r="AC268" s="75"/>
      <c r="AD268" s="75"/>
      <c r="AE268" s="75"/>
      <c r="AF268" s="75"/>
      <c r="AG268" s="75"/>
    </row>
    <row r="269" spans="1:33" s="16" customFormat="1" ht="102">
      <c r="A269" s="23" t="s">
        <v>607</v>
      </c>
      <c r="B269" s="22" t="s">
        <v>259</v>
      </c>
      <c r="C269" s="23" t="s">
        <v>176</v>
      </c>
      <c r="D269" s="23" t="s">
        <v>277</v>
      </c>
      <c r="E269" s="23" t="s">
        <v>744</v>
      </c>
      <c r="F269" s="23"/>
      <c r="G269" s="58">
        <f aca="true" t="shared" si="51" ref="G269:I270">G270</f>
        <v>80</v>
      </c>
      <c r="H269" s="58">
        <f t="shared" si="51"/>
        <v>80</v>
      </c>
      <c r="I269" s="58">
        <f>I270</f>
        <v>80</v>
      </c>
      <c r="J269" s="77">
        <f t="shared" si="49"/>
        <v>100</v>
      </c>
      <c r="K269" s="49"/>
      <c r="L269" s="49">
        <v>70</v>
      </c>
      <c r="M269" s="72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>
        <v>80</v>
      </c>
      <c r="AA269" s="75"/>
      <c r="AB269" s="75"/>
      <c r="AC269" s="75"/>
      <c r="AD269" s="75"/>
      <c r="AE269" s="75"/>
      <c r="AF269" s="75"/>
      <c r="AG269" s="75"/>
    </row>
    <row r="270" spans="1:33" s="16" customFormat="1" ht="25.5">
      <c r="A270" s="23" t="s">
        <v>608</v>
      </c>
      <c r="B270" s="22" t="s">
        <v>144</v>
      </c>
      <c r="C270" s="23" t="s">
        <v>176</v>
      </c>
      <c r="D270" s="23" t="s">
        <v>277</v>
      </c>
      <c r="E270" s="23" t="s">
        <v>744</v>
      </c>
      <c r="F270" s="23" t="s">
        <v>109</v>
      </c>
      <c r="G270" s="58">
        <f t="shared" si="51"/>
        <v>80</v>
      </c>
      <c r="H270" s="58">
        <f t="shared" si="51"/>
        <v>80</v>
      </c>
      <c r="I270" s="58">
        <f t="shared" si="51"/>
        <v>80</v>
      </c>
      <c r="J270" s="77">
        <f t="shared" si="49"/>
        <v>100</v>
      </c>
      <c r="K270" s="49"/>
      <c r="L270" s="50"/>
      <c r="M270" s="72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</row>
    <row r="271" spans="1:33" s="16" customFormat="1" ht="25.5">
      <c r="A271" s="23" t="s">
        <v>462</v>
      </c>
      <c r="B271" s="22" t="s">
        <v>145</v>
      </c>
      <c r="C271" s="23" t="s">
        <v>176</v>
      </c>
      <c r="D271" s="23" t="s">
        <v>277</v>
      </c>
      <c r="E271" s="23" t="s">
        <v>744</v>
      </c>
      <c r="F271" s="23" t="s">
        <v>102</v>
      </c>
      <c r="G271" s="58">
        <v>80</v>
      </c>
      <c r="H271" s="58">
        <v>80</v>
      </c>
      <c r="I271" s="58">
        <v>80</v>
      </c>
      <c r="J271" s="77">
        <f t="shared" si="49"/>
        <v>100</v>
      </c>
      <c r="K271" s="49"/>
      <c r="L271" s="50"/>
      <c r="M271" s="72"/>
      <c r="N271" s="75"/>
      <c r="O271" s="75"/>
      <c r="P271" s="75"/>
      <c r="Q271" s="75"/>
      <c r="R271" s="75"/>
      <c r="S271" s="75"/>
      <c r="T271" s="75"/>
      <c r="U271" s="75">
        <v>70</v>
      </c>
      <c r="V271" s="75"/>
      <c r="W271" s="75"/>
      <c r="X271" s="75"/>
      <c r="Y271" s="75"/>
      <c r="Z271" s="75"/>
      <c r="AA271" s="75"/>
      <c r="AB271" s="75">
        <v>80</v>
      </c>
      <c r="AC271" s="75"/>
      <c r="AD271" s="75"/>
      <c r="AE271" s="75"/>
      <c r="AF271" s="75"/>
      <c r="AG271" s="75"/>
    </row>
    <row r="272" spans="1:33" s="16" customFormat="1" ht="124.5" customHeight="1">
      <c r="A272" s="23" t="s">
        <v>463</v>
      </c>
      <c r="B272" s="22" t="s">
        <v>94</v>
      </c>
      <c r="C272" s="23" t="s">
        <v>176</v>
      </c>
      <c r="D272" s="23" t="s">
        <v>277</v>
      </c>
      <c r="E272" s="23" t="s">
        <v>745</v>
      </c>
      <c r="F272" s="23"/>
      <c r="G272" s="58">
        <f aca="true" t="shared" si="52" ref="G272:I273">G273</f>
        <v>94</v>
      </c>
      <c r="H272" s="58">
        <f t="shared" si="52"/>
        <v>94</v>
      </c>
      <c r="I272" s="58">
        <f t="shared" si="52"/>
        <v>94</v>
      </c>
      <c r="J272" s="77">
        <f t="shared" si="49"/>
        <v>100</v>
      </c>
      <c r="K272" s="49"/>
      <c r="L272" s="49">
        <v>94</v>
      </c>
      <c r="M272" s="72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>
        <v>94</v>
      </c>
      <c r="AA272" s="75"/>
      <c r="AB272" s="75"/>
      <c r="AC272" s="75"/>
      <c r="AD272" s="75"/>
      <c r="AE272" s="75"/>
      <c r="AF272" s="75"/>
      <c r="AG272" s="75"/>
    </row>
    <row r="273" spans="1:33" s="16" customFormat="1" ht="33" customHeight="1">
      <c r="A273" s="23" t="s">
        <v>464</v>
      </c>
      <c r="B273" s="22" t="s">
        <v>144</v>
      </c>
      <c r="C273" s="23" t="s">
        <v>176</v>
      </c>
      <c r="D273" s="23" t="s">
        <v>277</v>
      </c>
      <c r="E273" s="23" t="s">
        <v>745</v>
      </c>
      <c r="F273" s="23" t="s">
        <v>109</v>
      </c>
      <c r="G273" s="58">
        <f t="shared" si="52"/>
        <v>94</v>
      </c>
      <c r="H273" s="58">
        <f t="shared" si="52"/>
        <v>94</v>
      </c>
      <c r="I273" s="58">
        <f t="shared" si="52"/>
        <v>94</v>
      </c>
      <c r="J273" s="77">
        <f t="shared" si="49"/>
        <v>100</v>
      </c>
      <c r="K273" s="49"/>
      <c r="L273" s="50"/>
      <c r="M273" s="72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</row>
    <row r="274" spans="1:33" s="16" customFormat="1" ht="32.25" customHeight="1">
      <c r="A274" s="23" t="s">
        <v>389</v>
      </c>
      <c r="B274" s="22" t="s">
        <v>145</v>
      </c>
      <c r="C274" s="23" t="s">
        <v>176</v>
      </c>
      <c r="D274" s="23" t="s">
        <v>277</v>
      </c>
      <c r="E274" s="23" t="s">
        <v>745</v>
      </c>
      <c r="F274" s="23" t="s">
        <v>102</v>
      </c>
      <c r="G274" s="58">
        <v>94</v>
      </c>
      <c r="H274" s="58">
        <v>94</v>
      </c>
      <c r="I274" s="58">
        <v>94</v>
      </c>
      <c r="J274" s="77">
        <f t="shared" si="49"/>
        <v>100</v>
      </c>
      <c r="K274" s="49"/>
      <c r="L274" s="50"/>
      <c r="M274" s="72"/>
      <c r="N274" s="75"/>
      <c r="O274" s="75"/>
      <c r="P274" s="75"/>
      <c r="Q274" s="75"/>
      <c r="R274" s="75"/>
      <c r="S274" s="75"/>
      <c r="T274" s="75"/>
      <c r="U274" s="75">
        <v>94</v>
      </c>
      <c r="V274" s="75"/>
      <c r="W274" s="75"/>
      <c r="X274" s="75"/>
      <c r="Y274" s="75"/>
      <c r="Z274" s="75"/>
      <c r="AA274" s="75"/>
      <c r="AB274" s="75">
        <v>94</v>
      </c>
      <c r="AC274" s="75"/>
      <c r="AD274" s="75"/>
      <c r="AE274" s="75"/>
      <c r="AF274" s="75"/>
      <c r="AG274" s="75"/>
    </row>
    <row r="275" spans="1:33" s="16" customFormat="1" ht="36" customHeight="1">
      <c r="A275" s="23" t="s">
        <v>56</v>
      </c>
      <c r="B275" s="22" t="s">
        <v>305</v>
      </c>
      <c r="C275" s="23" t="s">
        <v>176</v>
      </c>
      <c r="D275" s="23" t="s">
        <v>277</v>
      </c>
      <c r="E275" s="23" t="s">
        <v>339</v>
      </c>
      <c r="F275" s="23"/>
      <c r="G275" s="58">
        <f>G276</f>
        <v>40</v>
      </c>
      <c r="H275" s="58">
        <f>H276</f>
        <v>40</v>
      </c>
      <c r="I275" s="58">
        <f aca="true" t="shared" si="53" ref="G275:I277">I276</f>
        <v>40</v>
      </c>
      <c r="J275" s="77">
        <f t="shared" si="49"/>
        <v>100</v>
      </c>
      <c r="K275" s="49"/>
      <c r="L275" s="50"/>
      <c r="M275" s="72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</row>
    <row r="276" spans="1:33" s="16" customFormat="1" ht="86.25" customHeight="1">
      <c r="A276" s="23" t="s">
        <v>57</v>
      </c>
      <c r="B276" s="22" t="s">
        <v>512</v>
      </c>
      <c r="C276" s="23" t="s">
        <v>176</v>
      </c>
      <c r="D276" s="23" t="s">
        <v>277</v>
      </c>
      <c r="E276" s="23" t="s">
        <v>749</v>
      </c>
      <c r="F276" s="23"/>
      <c r="G276" s="58">
        <f t="shared" si="53"/>
        <v>40</v>
      </c>
      <c r="H276" s="58">
        <f t="shared" si="53"/>
        <v>40</v>
      </c>
      <c r="I276" s="58">
        <f t="shared" si="53"/>
        <v>40</v>
      </c>
      <c r="J276" s="77">
        <f t="shared" si="49"/>
        <v>100</v>
      </c>
      <c r="K276" s="49"/>
      <c r="L276" s="49">
        <v>34</v>
      </c>
      <c r="M276" s="72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>
        <v>40</v>
      </c>
      <c r="AA276" s="75"/>
      <c r="AB276" s="75"/>
      <c r="AC276" s="75"/>
      <c r="AD276" s="75"/>
      <c r="AE276" s="75"/>
      <c r="AF276" s="75"/>
      <c r="AG276" s="75"/>
    </row>
    <row r="277" spans="1:33" s="16" customFormat="1" ht="33.75" customHeight="1">
      <c r="A277" s="23" t="s">
        <v>568</v>
      </c>
      <c r="B277" s="22" t="s">
        <v>144</v>
      </c>
      <c r="C277" s="23" t="s">
        <v>176</v>
      </c>
      <c r="D277" s="23" t="s">
        <v>277</v>
      </c>
      <c r="E277" s="23" t="s">
        <v>749</v>
      </c>
      <c r="F277" s="23" t="s">
        <v>109</v>
      </c>
      <c r="G277" s="58">
        <f t="shared" si="53"/>
        <v>40</v>
      </c>
      <c r="H277" s="58">
        <f t="shared" si="53"/>
        <v>40</v>
      </c>
      <c r="I277" s="58">
        <f t="shared" si="53"/>
        <v>40</v>
      </c>
      <c r="J277" s="77">
        <f t="shared" si="49"/>
        <v>100</v>
      </c>
      <c r="K277" s="49"/>
      <c r="L277" s="50"/>
      <c r="M277" s="72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</row>
    <row r="278" spans="1:33" s="16" customFormat="1" ht="39" customHeight="1">
      <c r="A278" s="23" t="s">
        <v>58</v>
      </c>
      <c r="B278" s="22" t="s">
        <v>145</v>
      </c>
      <c r="C278" s="23" t="s">
        <v>176</v>
      </c>
      <c r="D278" s="23" t="s">
        <v>277</v>
      </c>
      <c r="E278" s="23" t="s">
        <v>749</v>
      </c>
      <c r="F278" s="23" t="s">
        <v>102</v>
      </c>
      <c r="G278" s="58">
        <v>40</v>
      </c>
      <c r="H278" s="58">
        <v>40</v>
      </c>
      <c r="I278" s="58">
        <v>40</v>
      </c>
      <c r="J278" s="77">
        <f t="shared" si="49"/>
        <v>100</v>
      </c>
      <c r="K278" s="49"/>
      <c r="L278" s="50"/>
      <c r="M278" s="72"/>
      <c r="N278" s="75">
        <f>-7-27</f>
        <v>-34</v>
      </c>
      <c r="O278" s="75"/>
      <c r="P278" s="75"/>
      <c r="Q278" s="75"/>
      <c r="R278" s="75"/>
      <c r="S278" s="75"/>
      <c r="T278" s="75"/>
      <c r="U278" s="75">
        <v>34</v>
      </c>
      <c r="V278" s="75"/>
      <c r="W278" s="75"/>
      <c r="X278" s="75">
        <v>26</v>
      </c>
      <c r="Y278" s="75"/>
      <c r="Z278" s="75"/>
      <c r="AA278" s="75"/>
      <c r="AB278" s="75">
        <v>40</v>
      </c>
      <c r="AC278" s="75"/>
      <c r="AD278" s="75"/>
      <c r="AE278" s="75"/>
      <c r="AF278" s="75"/>
      <c r="AG278" s="75"/>
    </row>
    <row r="279" spans="1:33" s="16" customFormat="1" ht="60" customHeight="1">
      <c r="A279" s="23" t="s">
        <v>59</v>
      </c>
      <c r="B279" s="24" t="s">
        <v>95</v>
      </c>
      <c r="C279" s="23" t="s">
        <v>176</v>
      </c>
      <c r="D279" s="23" t="s">
        <v>277</v>
      </c>
      <c r="E279" s="23" t="s">
        <v>340</v>
      </c>
      <c r="F279" s="23"/>
      <c r="G279" s="58">
        <f>G280+G283</f>
        <v>810</v>
      </c>
      <c r="H279" s="58">
        <f>H280+H283</f>
        <v>810</v>
      </c>
      <c r="I279" s="58">
        <f>I280+I283</f>
        <v>803.5</v>
      </c>
      <c r="J279" s="77">
        <f t="shared" si="49"/>
        <v>99.19753086419753</v>
      </c>
      <c r="K279" s="49"/>
      <c r="L279" s="50"/>
      <c r="M279" s="72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</row>
    <row r="280" spans="1:33" s="16" customFormat="1" ht="124.5" customHeight="1">
      <c r="A280" s="23" t="s">
        <v>60</v>
      </c>
      <c r="B280" s="22" t="s">
        <v>273</v>
      </c>
      <c r="C280" s="23" t="s">
        <v>176</v>
      </c>
      <c r="D280" s="23" t="s">
        <v>277</v>
      </c>
      <c r="E280" s="23" t="s">
        <v>750</v>
      </c>
      <c r="F280" s="23"/>
      <c r="G280" s="58">
        <f aca="true" t="shared" si="54" ref="G280:I284">G281</f>
        <v>800</v>
      </c>
      <c r="H280" s="58">
        <f t="shared" si="54"/>
        <v>800</v>
      </c>
      <c r="I280" s="58">
        <f t="shared" si="54"/>
        <v>793.5</v>
      </c>
      <c r="J280" s="77">
        <f t="shared" si="49"/>
        <v>99.1875</v>
      </c>
      <c r="K280" s="49"/>
      <c r="L280" s="49">
        <v>10</v>
      </c>
      <c r="M280" s="72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>
        <v>800</v>
      </c>
      <c r="AA280" s="75"/>
      <c r="AB280" s="75"/>
      <c r="AC280" s="75"/>
      <c r="AD280" s="75"/>
      <c r="AE280" s="75"/>
      <c r="AF280" s="75"/>
      <c r="AG280" s="75"/>
    </row>
    <row r="281" spans="1:33" s="16" customFormat="1" ht="32.25" customHeight="1">
      <c r="A281" s="23" t="s">
        <v>61</v>
      </c>
      <c r="B281" s="22" t="s">
        <v>144</v>
      </c>
      <c r="C281" s="23" t="s">
        <v>176</v>
      </c>
      <c r="D281" s="23" t="s">
        <v>277</v>
      </c>
      <c r="E281" s="23" t="s">
        <v>750</v>
      </c>
      <c r="F281" s="23" t="s">
        <v>109</v>
      </c>
      <c r="G281" s="58">
        <f t="shared" si="54"/>
        <v>800</v>
      </c>
      <c r="H281" s="58">
        <f t="shared" si="54"/>
        <v>800</v>
      </c>
      <c r="I281" s="58">
        <f t="shared" si="54"/>
        <v>793.5</v>
      </c>
      <c r="J281" s="77">
        <f t="shared" si="49"/>
        <v>99.1875</v>
      </c>
      <c r="K281" s="49"/>
      <c r="L281" s="50"/>
      <c r="M281" s="72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</row>
    <row r="282" spans="1:33" s="16" customFormat="1" ht="28.5" customHeight="1">
      <c r="A282" s="23" t="s">
        <v>62</v>
      </c>
      <c r="B282" s="22" t="s">
        <v>145</v>
      </c>
      <c r="C282" s="23" t="s">
        <v>176</v>
      </c>
      <c r="D282" s="23" t="s">
        <v>277</v>
      </c>
      <c r="E282" s="23" t="s">
        <v>750</v>
      </c>
      <c r="F282" s="23" t="s">
        <v>102</v>
      </c>
      <c r="G282" s="58">
        <v>800</v>
      </c>
      <c r="H282" s="58">
        <v>800</v>
      </c>
      <c r="I282" s="58">
        <v>793.5</v>
      </c>
      <c r="J282" s="77">
        <f t="shared" si="49"/>
        <v>99.1875</v>
      </c>
      <c r="K282" s="49"/>
      <c r="L282" s="50"/>
      <c r="M282" s="72"/>
      <c r="N282" s="75">
        <v>-10</v>
      </c>
      <c r="O282" s="75"/>
      <c r="P282" s="75"/>
      <c r="Q282" s="75"/>
      <c r="R282" s="75"/>
      <c r="S282" s="75"/>
      <c r="T282" s="75"/>
      <c r="U282" s="75">
        <v>10</v>
      </c>
      <c r="V282" s="75"/>
      <c r="W282" s="75"/>
      <c r="X282" s="75">
        <v>-10</v>
      </c>
      <c r="Y282" s="75"/>
      <c r="Z282" s="75"/>
      <c r="AA282" s="75"/>
      <c r="AB282" s="75">
        <v>800</v>
      </c>
      <c r="AC282" s="75"/>
      <c r="AD282" s="75"/>
      <c r="AE282" s="75"/>
      <c r="AF282" s="75"/>
      <c r="AG282" s="75"/>
    </row>
    <row r="283" spans="1:33" s="16" customFormat="1" ht="127.5">
      <c r="A283" s="23" t="s">
        <v>1032</v>
      </c>
      <c r="B283" s="22" t="s">
        <v>752</v>
      </c>
      <c r="C283" s="23" t="s">
        <v>176</v>
      </c>
      <c r="D283" s="23" t="s">
        <v>277</v>
      </c>
      <c r="E283" s="23" t="s">
        <v>751</v>
      </c>
      <c r="F283" s="23"/>
      <c r="G283" s="58">
        <f>G284</f>
        <v>10</v>
      </c>
      <c r="H283" s="58">
        <f>H284</f>
        <v>10</v>
      </c>
      <c r="I283" s="58">
        <f>I284</f>
        <v>10</v>
      </c>
      <c r="J283" s="77">
        <f t="shared" si="49"/>
        <v>100</v>
      </c>
      <c r="K283" s="49"/>
      <c r="L283" s="49">
        <v>10</v>
      </c>
      <c r="M283" s="72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>
        <v>10</v>
      </c>
      <c r="AA283" s="75"/>
      <c r="AB283" s="75">
        <v>10</v>
      </c>
      <c r="AC283" s="75"/>
      <c r="AD283" s="75"/>
      <c r="AE283" s="75"/>
      <c r="AF283" s="75"/>
      <c r="AG283" s="75"/>
    </row>
    <row r="284" spans="1:33" s="16" customFormat="1" ht="33.75" customHeight="1">
      <c r="A284" s="23" t="s">
        <v>1495</v>
      </c>
      <c r="B284" s="22" t="s">
        <v>144</v>
      </c>
      <c r="C284" s="23" t="s">
        <v>176</v>
      </c>
      <c r="D284" s="23" t="s">
        <v>277</v>
      </c>
      <c r="E284" s="23" t="s">
        <v>751</v>
      </c>
      <c r="F284" s="23" t="s">
        <v>109</v>
      </c>
      <c r="G284" s="58">
        <f t="shared" si="54"/>
        <v>10</v>
      </c>
      <c r="H284" s="58">
        <f t="shared" si="54"/>
        <v>10</v>
      </c>
      <c r="I284" s="58">
        <f t="shared" si="54"/>
        <v>10</v>
      </c>
      <c r="J284" s="77">
        <f t="shared" si="49"/>
        <v>100</v>
      </c>
      <c r="K284" s="49"/>
      <c r="L284" s="50"/>
      <c r="M284" s="72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</row>
    <row r="285" spans="1:33" s="16" customFormat="1" ht="33" customHeight="1">
      <c r="A285" s="23" t="s">
        <v>1496</v>
      </c>
      <c r="B285" s="22" t="s">
        <v>145</v>
      </c>
      <c r="C285" s="23" t="s">
        <v>176</v>
      </c>
      <c r="D285" s="23" t="s">
        <v>277</v>
      </c>
      <c r="E285" s="23" t="s">
        <v>751</v>
      </c>
      <c r="F285" s="23" t="s">
        <v>102</v>
      </c>
      <c r="G285" s="58">
        <v>10</v>
      </c>
      <c r="H285" s="58">
        <v>10</v>
      </c>
      <c r="I285" s="58">
        <v>10</v>
      </c>
      <c r="J285" s="77">
        <f t="shared" si="49"/>
        <v>100</v>
      </c>
      <c r="K285" s="49"/>
      <c r="L285" s="50"/>
      <c r="M285" s="72"/>
      <c r="N285" s="75">
        <v>-10</v>
      </c>
      <c r="O285" s="75"/>
      <c r="P285" s="75"/>
      <c r="Q285" s="75"/>
      <c r="R285" s="75"/>
      <c r="S285" s="75"/>
      <c r="T285" s="75"/>
      <c r="U285" s="75">
        <v>10</v>
      </c>
      <c r="V285" s="75"/>
      <c r="W285" s="75"/>
      <c r="X285" s="75">
        <v>-10</v>
      </c>
      <c r="Y285" s="75"/>
      <c r="Z285" s="75"/>
      <c r="AA285" s="75"/>
      <c r="AB285" s="75"/>
      <c r="AC285" s="75"/>
      <c r="AD285" s="75"/>
      <c r="AE285" s="75"/>
      <c r="AF285" s="75"/>
      <c r="AG285" s="75"/>
    </row>
    <row r="286" spans="1:33" s="16" customFormat="1" ht="33" customHeight="1">
      <c r="A286" s="23" t="s">
        <v>1497</v>
      </c>
      <c r="B286" s="24" t="s">
        <v>218</v>
      </c>
      <c r="C286" s="23" t="s">
        <v>176</v>
      </c>
      <c r="D286" s="23" t="s">
        <v>277</v>
      </c>
      <c r="E286" s="99" t="s">
        <v>312</v>
      </c>
      <c r="F286" s="23"/>
      <c r="G286" s="58">
        <f aca="true" t="shared" si="55" ref="G286:I289">G287</f>
        <v>0</v>
      </c>
      <c r="H286" s="58">
        <f t="shared" si="55"/>
        <v>880</v>
      </c>
      <c r="I286" s="58">
        <f t="shared" si="55"/>
        <v>880</v>
      </c>
      <c r="J286" s="77">
        <f t="shared" si="49"/>
        <v>100</v>
      </c>
      <c r="K286" s="49"/>
      <c r="L286" s="50"/>
      <c r="M286" s="72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</row>
    <row r="287" spans="1:33" s="16" customFormat="1" ht="33" customHeight="1">
      <c r="A287" s="23" t="s">
        <v>1498</v>
      </c>
      <c r="B287" s="24" t="s">
        <v>219</v>
      </c>
      <c r="C287" s="23" t="s">
        <v>176</v>
      </c>
      <c r="D287" s="23" t="s">
        <v>277</v>
      </c>
      <c r="E287" s="99" t="s">
        <v>328</v>
      </c>
      <c r="F287" s="23"/>
      <c r="G287" s="58">
        <f t="shared" si="55"/>
        <v>0</v>
      </c>
      <c r="H287" s="58">
        <f t="shared" si="55"/>
        <v>880</v>
      </c>
      <c r="I287" s="58">
        <f t="shared" si="55"/>
        <v>880</v>
      </c>
      <c r="J287" s="77">
        <f t="shared" si="49"/>
        <v>100</v>
      </c>
      <c r="K287" s="49"/>
      <c r="L287" s="50"/>
      <c r="M287" s="72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</row>
    <row r="288" spans="1:33" s="16" customFormat="1" ht="53.25" customHeight="1">
      <c r="A288" s="23" t="s">
        <v>1499</v>
      </c>
      <c r="B288" s="24" t="s">
        <v>223</v>
      </c>
      <c r="C288" s="23" t="s">
        <v>176</v>
      </c>
      <c r="D288" s="23" t="s">
        <v>277</v>
      </c>
      <c r="E288" s="99" t="s">
        <v>331</v>
      </c>
      <c r="F288" s="23"/>
      <c r="G288" s="58">
        <f>G289</f>
        <v>0</v>
      </c>
      <c r="H288" s="58">
        <f>H289</f>
        <v>880</v>
      </c>
      <c r="I288" s="58">
        <f t="shared" si="55"/>
        <v>880</v>
      </c>
      <c r="J288" s="77">
        <f t="shared" si="49"/>
        <v>100</v>
      </c>
      <c r="K288" s="49"/>
      <c r="L288" s="50"/>
      <c r="M288" s="72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</row>
    <row r="289" spans="1:33" s="16" customFormat="1" ht="33" customHeight="1">
      <c r="A289" s="23" t="s">
        <v>1500</v>
      </c>
      <c r="B289" s="22" t="s">
        <v>144</v>
      </c>
      <c r="C289" s="23" t="s">
        <v>176</v>
      </c>
      <c r="D289" s="23" t="s">
        <v>277</v>
      </c>
      <c r="E289" s="99" t="s">
        <v>331</v>
      </c>
      <c r="F289" s="23" t="s">
        <v>109</v>
      </c>
      <c r="G289" s="58">
        <f t="shared" si="55"/>
        <v>0</v>
      </c>
      <c r="H289" s="58">
        <f t="shared" si="55"/>
        <v>880</v>
      </c>
      <c r="I289" s="58">
        <f t="shared" si="55"/>
        <v>880</v>
      </c>
      <c r="J289" s="77">
        <f t="shared" si="49"/>
        <v>100</v>
      </c>
      <c r="K289" s="49"/>
      <c r="L289" s="50"/>
      <c r="M289" s="72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</row>
    <row r="290" spans="1:33" s="16" customFormat="1" ht="33" customHeight="1">
      <c r="A290" s="23" t="s">
        <v>1033</v>
      </c>
      <c r="B290" s="22" t="s">
        <v>145</v>
      </c>
      <c r="C290" s="23" t="s">
        <v>176</v>
      </c>
      <c r="D290" s="23" t="s">
        <v>277</v>
      </c>
      <c r="E290" s="99" t="s">
        <v>331</v>
      </c>
      <c r="F290" s="23" t="s">
        <v>102</v>
      </c>
      <c r="G290" s="58">
        <v>0</v>
      </c>
      <c r="H290" s="58">
        <f>680+200</f>
        <v>880</v>
      </c>
      <c r="I290" s="58">
        <v>880</v>
      </c>
      <c r="J290" s="77">
        <f t="shared" si="49"/>
        <v>100</v>
      </c>
      <c r="K290" s="49"/>
      <c r="L290" s="50"/>
      <c r="M290" s="72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>
        <v>680</v>
      </c>
      <c r="AF290" s="75">
        <v>200</v>
      </c>
      <c r="AG290" s="75"/>
    </row>
    <row r="291" spans="1:33" s="16" customFormat="1" ht="33" customHeight="1">
      <c r="A291" s="23" t="s">
        <v>1034</v>
      </c>
      <c r="B291" s="35" t="s">
        <v>274</v>
      </c>
      <c r="C291" s="36" t="s">
        <v>176</v>
      </c>
      <c r="D291" s="36" t="s">
        <v>278</v>
      </c>
      <c r="E291" s="36" t="s">
        <v>160</v>
      </c>
      <c r="F291" s="36" t="s">
        <v>160</v>
      </c>
      <c r="G291" s="80">
        <f>G292</f>
        <v>80</v>
      </c>
      <c r="H291" s="80">
        <f>H292</f>
        <v>80</v>
      </c>
      <c r="I291" s="80">
        <f>I292</f>
        <v>80</v>
      </c>
      <c r="J291" s="77">
        <f t="shared" si="49"/>
        <v>100</v>
      </c>
      <c r="K291" s="49"/>
      <c r="L291" s="50"/>
      <c r="M291" s="72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</row>
    <row r="292" spans="1:33" s="16" customFormat="1" ht="43.5" customHeight="1">
      <c r="A292" s="23" t="s">
        <v>1035</v>
      </c>
      <c r="B292" s="24" t="s">
        <v>257</v>
      </c>
      <c r="C292" s="23" t="s">
        <v>176</v>
      </c>
      <c r="D292" s="23" t="s">
        <v>278</v>
      </c>
      <c r="E292" s="23" t="s">
        <v>337</v>
      </c>
      <c r="F292" s="23"/>
      <c r="G292" s="58">
        <f>G293+G300</f>
        <v>80</v>
      </c>
      <c r="H292" s="58">
        <f>H293+H300</f>
        <v>80</v>
      </c>
      <c r="I292" s="58">
        <f>I293+I300</f>
        <v>80</v>
      </c>
      <c r="J292" s="77">
        <f t="shared" si="49"/>
        <v>100</v>
      </c>
      <c r="K292" s="49"/>
      <c r="L292" s="50"/>
      <c r="M292" s="72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</row>
    <row r="293" spans="1:33" s="16" customFormat="1" ht="33" customHeight="1">
      <c r="A293" s="23" t="s">
        <v>1036</v>
      </c>
      <c r="B293" s="24" t="s">
        <v>275</v>
      </c>
      <c r="C293" s="23" t="s">
        <v>176</v>
      </c>
      <c r="D293" s="23" t="s">
        <v>278</v>
      </c>
      <c r="E293" s="23" t="s">
        <v>341</v>
      </c>
      <c r="F293" s="23"/>
      <c r="G293" s="58">
        <f>G294+G297</f>
        <v>30</v>
      </c>
      <c r="H293" s="58">
        <f>H294+H297</f>
        <v>30</v>
      </c>
      <c r="I293" s="58">
        <f>I294+I297</f>
        <v>30</v>
      </c>
      <c r="J293" s="77">
        <f t="shared" si="49"/>
        <v>100</v>
      </c>
      <c r="K293" s="49"/>
      <c r="L293" s="50"/>
      <c r="M293" s="72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</row>
    <row r="294" spans="1:33" s="16" customFormat="1" ht="69.75" customHeight="1">
      <c r="A294" s="23" t="s">
        <v>1037</v>
      </c>
      <c r="B294" s="22" t="s">
        <v>100</v>
      </c>
      <c r="C294" s="23" t="s">
        <v>176</v>
      </c>
      <c r="D294" s="23" t="s">
        <v>278</v>
      </c>
      <c r="E294" s="23" t="s">
        <v>753</v>
      </c>
      <c r="F294" s="23"/>
      <c r="G294" s="58">
        <f aca="true" t="shared" si="56" ref="G294:I298">G295</f>
        <v>20</v>
      </c>
      <c r="H294" s="58">
        <f t="shared" si="56"/>
        <v>20</v>
      </c>
      <c r="I294" s="58">
        <f t="shared" si="56"/>
        <v>20</v>
      </c>
      <c r="J294" s="77">
        <f t="shared" si="49"/>
        <v>100</v>
      </c>
      <c r="K294" s="49"/>
      <c r="L294" s="49">
        <v>10</v>
      </c>
      <c r="M294" s="72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>
        <v>20</v>
      </c>
      <c r="AA294" s="75"/>
      <c r="AB294" s="75"/>
      <c r="AC294" s="75"/>
      <c r="AD294" s="75"/>
      <c r="AE294" s="75"/>
      <c r="AF294" s="75"/>
      <c r="AG294" s="75"/>
    </row>
    <row r="295" spans="1:33" s="16" customFormat="1" ht="31.5" customHeight="1">
      <c r="A295" s="23" t="s">
        <v>522</v>
      </c>
      <c r="B295" s="22" t="s">
        <v>144</v>
      </c>
      <c r="C295" s="23" t="s">
        <v>176</v>
      </c>
      <c r="D295" s="23" t="s">
        <v>278</v>
      </c>
      <c r="E295" s="23" t="s">
        <v>753</v>
      </c>
      <c r="F295" s="23" t="s">
        <v>109</v>
      </c>
      <c r="G295" s="58">
        <f t="shared" si="56"/>
        <v>20</v>
      </c>
      <c r="H295" s="58">
        <f t="shared" si="56"/>
        <v>20</v>
      </c>
      <c r="I295" s="58">
        <f t="shared" si="56"/>
        <v>20</v>
      </c>
      <c r="J295" s="77">
        <f t="shared" si="49"/>
        <v>100</v>
      </c>
      <c r="K295" s="49"/>
      <c r="L295" s="50"/>
      <c r="M295" s="72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</row>
    <row r="296" spans="1:33" s="16" customFormat="1" ht="32.25" customHeight="1">
      <c r="A296" s="23" t="s">
        <v>63</v>
      </c>
      <c r="B296" s="22" t="s">
        <v>145</v>
      </c>
      <c r="C296" s="23" t="s">
        <v>176</v>
      </c>
      <c r="D296" s="23" t="s">
        <v>278</v>
      </c>
      <c r="E296" s="23" t="s">
        <v>753</v>
      </c>
      <c r="F296" s="23" t="s">
        <v>102</v>
      </c>
      <c r="G296" s="58">
        <v>20</v>
      </c>
      <c r="H296" s="58">
        <v>20</v>
      </c>
      <c r="I296" s="58">
        <v>20</v>
      </c>
      <c r="J296" s="77">
        <f t="shared" si="49"/>
        <v>100</v>
      </c>
      <c r="K296" s="49"/>
      <c r="L296" s="50"/>
      <c r="M296" s="72"/>
      <c r="N296" s="75">
        <v>37</v>
      </c>
      <c r="O296" s="75"/>
      <c r="P296" s="75"/>
      <c r="Q296" s="75"/>
      <c r="R296" s="75"/>
      <c r="S296" s="75"/>
      <c r="T296" s="75"/>
      <c r="U296" s="75">
        <v>10</v>
      </c>
      <c r="V296" s="75"/>
      <c r="W296" s="75"/>
      <c r="X296" s="75">
        <v>30</v>
      </c>
      <c r="Y296" s="75"/>
      <c r="Z296" s="75"/>
      <c r="AA296" s="75"/>
      <c r="AB296" s="75">
        <v>20</v>
      </c>
      <c r="AC296" s="75"/>
      <c r="AD296" s="75"/>
      <c r="AE296" s="75"/>
      <c r="AF296" s="75"/>
      <c r="AG296" s="75"/>
    </row>
    <row r="297" spans="1:33" s="16" customFormat="1" ht="83.25" customHeight="1">
      <c r="A297" s="23" t="s">
        <v>64</v>
      </c>
      <c r="B297" s="22" t="s">
        <v>513</v>
      </c>
      <c r="C297" s="23" t="s">
        <v>176</v>
      </c>
      <c r="D297" s="23" t="s">
        <v>278</v>
      </c>
      <c r="E297" s="23" t="s">
        <v>754</v>
      </c>
      <c r="F297" s="23"/>
      <c r="G297" s="58">
        <f t="shared" si="56"/>
        <v>10</v>
      </c>
      <c r="H297" s="58">
        <f t="shared" si="56"/>
        <v>10</v>
      </c>
      <c r="I297" s="58">
        <f t="shared" si="56"/>
        <v>10</v>
      </c>
      <c r="J297" s="77">
        <f t="shared" si="49"/>
        <v>100</v>
      </c>
      <c r="K297" s="49"/>
      <c r="L297" s="49">
        <v>10</v>
      </c>
      <c r="M297" s="72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>
        <v>10</v>
      </c>
      <c r="AA297" s="75"/>
      <c r="AB297" s="75"/>
      <c r="AC297" s="75"/>
      <c r="AD297" s="75"/>
      <c r="AE297" s="75"/>
      <c r="AF297" s="75"/>
      <c r="AG297" s="75"/>
    </row>
    <row r="298" spans="1:33" s="16" customFormat="1" ht="33.75" customHeight="1">
      <c r="A298" s="23" t="s">
        <v>65</v>
      </c>
      <c r="B298" s="22" t="s">
        <v>144</v>
      </c>
      <c r="C298" s="23" t="s">
        <v>176</v>
      </c>
      <c r="D298" s="23" t="s">
        <v>278</v>
      </c>
      <c r="E298" s="23" t="s">
        <v>754</v>
      </c>
      <c r="F298" s="23" t="s">
        <v>109</v>
      </c>
      <c r="G298" s="58">
        <f t="shared" si="56"/>
        <v>10</v>
      </c>
      <c r="H298" s="58">
        <f t="shared" si="56"/>
        <v>10</v>
      </c>
      <c r="I298" s="58">
        <f t="shared" si="56"/>
        <v>10</v>
      </c>
      <c r="J298" s="77">
        <f t="shared" si="49"/>
        <v>100</v>
      </c>
      <c r="K298" s="49"/>
      <c r="L298" s="50"/>
      <c r="M298" s="72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</row>
    <row r="299" spans="1:33" s="16" customFormat="1" ht="33" customHeight="1">
      <c r="A299" s="23" t="s">
        <v>130</v>
      </c>
      <c r="B299" s="22" t="s">
        <v>145</v>
      </c>
      <c r="C299" s="23" t="s">
        <v>176</v>
      </c>
      <c r="D299" s="23" t="s">
        <v>278</v>
      </c>
      <c r="E299" s="23" t="s">
        <v>754</v>
      </c>
      <c r="F299" s="23" t="s">
        <v>102</v>
      </c>
      <c r="G299" s="58">
        <v>10</v>
      </c>
      <c r="H299" s="58">
        <v>10</v>
      </c>
      <c r="I299" s="58">
        <v>10</v>
      </c>
      <c r="J299" s="77">
        <f t="shared" si="49"/>
        <v>100</v>
      </c>
      <c r="K299" s="49"/>
      <c r="L299" s="50"/>
      <c r="M299" s="72"/>
      <c r="N299" s="75">
        <v>-10</v>
      </c>
      <c r="O299" s="75"/>
      <c r="P299" s="75"/>
      <c r="Q299" s="75"/>
      <c r="R299" s="75"/>
      <c r="S299" s="75"/>
      <c r="T299" s="75"/>
      <c r="U299" s="75">
        <v>10</v>
      </c>
      <c r="V299" s="75"/>
      <c r="W299" s="75"/>
      <c r="X299" s="75">
        <v>-10</v>
      </c>
      <c r="Y299" s="75"/>
      <c r="Z299" s="75"/>
      <c r="AA299" s="75"/>
      <c r="AB299" s="75">
        <v>10</v>
      </c>
      <c r="AC299" s="75"/>
      <c r="AD299" s="75"/>
      <c r="AE299" s="75"/>
      <c r="AF299" s="75"/>
      <c r="AG299" s="75"/>
    </row>
    <row r="300" spans="1:33" s="16" customFormat="1" ht="33" customHeight="1">
      <c r="A300" s="23" t="s">
        <v>131</v>
      </c>
      <c r="B300" s="24" t="s">
        <v>815</v>
      </c>
      <c r="C300" s="23" t="s">
        <v>176</v>
      </c>
      <c r="D300" s="23" t="s">
        <v>278</v>
      </c>
      <c r="E300" s="23" t="s">
        <v>816</v>
      </c>
      <c r="F300" s="23"/>
      <c r="G300" s="58">
        <f>SUM(G301+G304)</f>
        <v>50</v>
      </c>
      <c r="H300" s="58">
        <f>SUM(H301+H304)</f>
        <v>50</v>
      </c>
      <c r="I300" s="58">
        <f>SUM(I301+I304)</f>
        <v>50</v>
      </c>
      <c r="J300" s="77">
        <f t="shared" si="49"/>
        <v>100</v>
      </c>
      <c r="K300" s="49"/>
      <c r="L300" s="50"/>
      <c r="M300" s="72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</row>
    <row r="301" spans="1:33" s="16" customFormat="1" ht="96.75" customHeight="1">
      <c r="A301" s="23" t="s">
        <v>132</v>
      </c>
      <c r="B301" s="22" t="s">
        <v>820</v>
      </c>
      <c r="C301" s="23" t="s">
        <v>176</v>
      </c>
      <c r="D301" s="23" t="s">
        <v>278</v>
      </c>
      <c r="E301" s="23" t="s">
        <v>818</v>
      </c>
      <c r="F301" s="23"/>
      <c r="G301" s="58">
        <f aca="true" t="shared" si="57" ref="G301:I302">SUM(G302)</f>
        <v>30</v>
      </c>
      <c r="H301" s="58">
        <f t="shared" si="57"/>
        <v>30</v>
      </c>
      <c r="I301" s="58">
        <f t="shared" si="57"/>
        <v>30</v>
      </c>
      <c r="J301" s="77">
        <f t="shared" si="49"/>
        <v>100</v>
      </c>
      <c r="K301" s="49"/>
      <c r="L301" s="50"/>
      <c r="M301" s="72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>
        <v>30</v>
      </c>
      <c r="AA301" s="75"/>
      <c r="AB301" s="75"/>
      <c r="AC301" s="75"/>
      <c r="AD301" s="75"/>
      <c r="AE301" s="75"/>
      <c r="AF301" s="75"/>
      <c r="AG301" s="75"/>
    </row>
    <row r="302" spans="1:33" s="16" customFormat="1" ht="31.5" customHeight="1">
      <c r="A302" s="23" t="s">
        <v>133</v>
      </c>
      <c r="B302" s="22" t="s">
        <v>144</v>
      </c>
      <c r="C302" s="23" t="s">
        <v>176</v>
      </c>
      <c r="D302" s="23" t="s">
        <v>278</v>
      </c>
      <c r="E302" s="23" t="s">
        <v>818</v>
      </c>
      <c r="F302" s="23" t="s">
        <v>109</v>
      </c>
      <c r="G302" s="58">
        <f t="shared" si="57"/>
        <v>30</v>
      </c>
      <c r="H302" s="58">
        <f t="shared" si="57"/>
        <v>30</v>
      </c>
      <c r="I302" s="58">
        <f t="shared" si="57"/>
        <v>30</v>
      </c>
      <c r="J302" s="77">
        <f t="shared" si="49"/>
        <v>100</v>
      </c>
      <c r="K302" s="49"/>
      <c r="L302" s="50"/>
      <c r="M302" s="72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</row>
    <row r="303" spans="1:33" s="16" customFormat="1" ht="33" customHeight="1">
      <c r="A303" s="23" t="s">
        <v>435</v>
      </c>
      <c r="B303" s="22" t="s">
        <v>145</v>
      </c>
      <c r="C303" s="23" t="s">
        <v>176</v>
      </c>
      <c r="D303" s="23" t="s">
        <v>278</v>
      </c>
      <c r="E303" s="23" t="s">
        <v>818</v>
      </c>
      <c r="F303" s="23" t="s">
        <v>102</v>
      </c>
      <c r="G303" s="58">
        <v>30</v>
      </c>
      <c r="H303" s="58">
        <v>30</v>
      </c>
      <c r="I303" s="58">
        <v>30</v>
      </c>
      <c r="J303" s="77">
        <f t="shared" si="49"/>
        <v>100</v>
      </c>
      <c r="K303" s="49"/>
      <c r="L303" s="50"/>
      <c r="M303" s="72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>
        <v>30</v>
      </c>
      <c r="Y303" s="75"/>
      <c r="Z303" s="75"/>
      <c r="AA303" s="75"/>
      <c r="AB303" s="75">
        <v>30</v>
      </c>
      <c r="AC303" s="75"/>
      <c r="AD303" s="75"/>
      <c r="AE303" s="75"/>
      <c r="AF303" s="75"/>
      <c r="AG303" s="75"/>
    </row>
    <row r="304" spans="1:33" s="16" customFormat="1" ht="81" customHeight="1">
      <c r="A304" s="23" t="s">
        <v>436</v>
      </c>
      <c r="B304" s="22" t="s">
        <v>817</v>
      </c>
      <c r="C304" s="23" t="s">
        <v>176</v>
      </c>
      <c r="D304" s="23" t="s">
        <v>278</v>
      </c>
      <c r="E304" s="23" t="s">
        <v>819</v>
      </c>
      <c r="F304" s="23"/>
      <c r="G304" s="58">
        <f aca="true" t="shared" si="58" ref="G304:I305">SUM(G305)</f>
        <v>20</v>
      </c>
      <c r="H304" s="58">
        <f t="shared" si="58"/>
        <v>20</v>
      </c>
      <c r="I304" s="58">
        <f t="shared" si="58"/>
        <v>20</v>
      </c>
      <c r="J304" s="77">
        <f t="shared" si="49"/>
        <v>100</v>
      </c>
      <c r="K304" s="49"/>
      <c r="L304" s="50"/>
      <c r="M304" s="72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>
        <v>20</v>
      </c>
      <c r="AA304" s="75"/>
      <c r="AB304" s="75"/>
      <c r="AC304" s="75"/>
      <c r="AD304" s="75"/>
      <c r="AE304" s="75"/>
      <c r="AF304" s="75"/>
      <c r="AG304" s="75"/>
    </row>
    <row r="305" spans="1:33" s="16" customFormat="1" ht="30" customHeight="1">
      <c r="A305" s="23" t="s">
        <v>437</v>
      </c>
      <c r="B305" s="22" t="s">
        <v>144</v>
      </c>
      <c r="C305" s="23" t="s">
        <v>176</v>
      </c>
      <c r="D305" s="23" t="s">
        <v>278</v>
      </c>
      <c r="E305" s="23" t="s">
        <v>819</v>
      </c>
      <c r="F305" s="23" t="s">
        <v>109</v>
      </c>
      <c r="G305" s="58">
        <f t="shared" si="58"/>
        <v>20</v>
      </c>
      <c r="H305" s="58">
        <f t="shared" si="58"/>
        <v>20</v>
      </c>
      <c r="I305" s="58">
        <f t="shared" si="58"/>
        <v>20</v>
      </c>
      <c r="J305" s="77">
        <f t="shared" si="49"/>
        <v>100</v>
      </c>
      <c r="K305" s="49"/>
      <c r="L305" s="50"/>
      <c r="M305" s="72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</row>
    <row r="306" spans="1:33" s="16" customFormat="1" ht="31.5" customHeight="1">
      <c r="A306" s="23" t="s">
        <v>390</v>
      </c>
      <c r="B306" s="22" t="s">
        <v>145</v>
      </c>
      <c r="C306" s="23" t="s">
        <v>176</v>
      </c>
      <c r="D306" s="23" t="s">
        <v>278</v>
      </c>
      <c r="E306" s="23" t="s">
        <v>819</v>
      </c>
      <c r="F306" s="23" t="s">
        <v>102</v>
      </c>
      <c r="G306" s="58">
        <v>20</v>
      </c>
      <c r="H306" s="58">
        <v>20</v>
      </c>
      <c r="I306" s="58">
        <v>20</v>
      </c>
      <c r="J306" s="77">
        <f t="shared" si="49"/>
        <v>100</v>
      </c>
      <c r="K306" s="49"/>
      <c r="L306" s="50"/>
      <c r="M306" s="72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>
        <v>20</v>
      </c>
      <c r="Y306" s="75"/>
      <c r="Z306" s="75"/>
      <c r="AA306" s="75"/>
      <c r="AB306" s="75">
        <v>20</v>
      </c>
      <c r="AC306" s="75"/>
      <c r="AD306" s="75"/>
      <c r="AE306" s="75"/>
      <c r="AF306" s="75"/>
      <c r="AG306" s="75"/>
    </row>
    <row r="307" spans="1:33" s="16" customFormat="1" ht="19.5" customHeight="1">
      <c r="A307" s="23" t="s">
        <v>66</v>
      </c>
      <c r="B307" s="34" t="s">
        <v>244</v>
      </c>
      <c r="C307" s="31" t="s">
        <v>176</v>
      </c>
      <c r="D307" s="31" t="s">
        <v>260</v>
      </c>
      <c r="E307" s="31" t="s">
        <v>160</v>
      </c>
      <c r="F307" s="31" t="s">
        <v>160</v>
      </c>
      <c r="G307" s="79">
        <f>G316+G331+G308+G322</f>
        <v>33659.6</v>
      </c>
      <c r="H307" s="79">
        <f>H316+H331+H308+H322</f>
        <v>35283.49999999999</v>
      </c>
      <c r="I307" s="79">
        <f>I316+I331+I308+I322</f>
        <v>34613.1</v>
      </c>
      <c r="J307" s="77">
        <f t="shared" si="49"/>
        <v>98.09996173848968</v>
      </c>
      <c r="K307" s="49"/>
      <c r="L307" s="50"/>
      <c r="M307" s="72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</row>
    <row r="308" spans="1:33" s="16" customFormat="1" ht="23.25" customHeight="1">
      <c r="A308" s="23" t="s">
        <v>88</v>
      </c>
      <c r="B308" s="35" t="s">
        <v>99</v>
      </c>
      <c r="C308" s="23" t="s">
        <v>176</v>
      </c>
      <c r="D308" s="36" t="s">
        <v>97</v>
      </c>
      <c r="E308" s="36"/>
      <c r="F308" s="36"/>
      <c r="G308" s="78">
        <f aca="true" t="shared" si="59" ref="G308:I310">G309</f>
        <v>2641.7999999999997</v>
      </c>
      <c r="H308" s="78">
        <f t="shared" si="59"/>
        <v>2717.4999999999995</v>
      </c>
      <c r="I308" s="78">
        <f t="shared" si="59"/>
        <v>2717.5</v>
      </c>
      <c r="J308" s="77">
        <f t="shared" si="49"/>
        <v>100.00000000000003</v>
      </c>
      <c r="K308" s="49"/>
      <c r="L308" s="50"/>
      <c r="M308" s="72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</row>
    <row r="309" spans="1:33" s="16" customFormat="1" ht="48" customHeight="1">
      <c r="A309" s="23" t="s">
        <v>438</v>
      </c>
      <c r="B309" s="25" t="s">
        <v>290</v>
      </c>
      <c r="C309" s="23" t="s">
        <v>176</v>
      </c>
      <c r="D309" s="23" t="s">
        <v>97</v>
      </c>
      <c r="E309" s="23" t="s">
        <v>342</v>
      </c>
      <c r="F309" s="23"/>
      <c r="G309" s="54">
        <f t="shared" si="59"/>
        <v>2641.7999999999997</v>
      </c>
      <c r="H309" s="54">
        <f t="shared" si="59"/>
        <v>2717.4999999999995</v>
      </c>
      <c r="I309" s="54">
        <f t="shared" si="59"/>
        <v>2717.5</v>
      </c>
      <c r="J309" s="77">
        <f t="shared" si="49"/>
        <v>100.00000000000003</v>
      </c>
      <c r="K309" s="49"/>
      <c r="L309" s="50"/>
      <c r="M309" s="72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</row>
    <row r="310" spans="1:33" s="16" customFormat="1" ht="33" customHeight="1">
      <c r="A310" s="23" t="s">
        <v>439</v>
      </c>
      <c r="B310" s="25" t="s">
        <v>280</v>
      </c>
      <c r="C310" s="23" t="s">
        <v>176</v>
      </c>
      <c r="D310" s="23" t="s">
        <v>97</v>
      </c>
      <c r="E310" s="23" t="s">
        <v>343</v>
      </c>
      <c r="F310" s="23"/>
      <c r="G310" s="54">
        <f t="shared" si="59"/>
        <v>2641.7999999999997</v>
      </c>
      <c r="H310" s="54">
        <f t="shared" si="59"/>
        <v>2717.4999999999995</v>
      </c>
      <c r="I310" s="54">
        <f t="shared" si="59"/>
        <v>2717.5</v>
      </c>
      <c r="J310" s="77">
        <f t="shared" si="49"/>
        <v>100.00000000000003</v>
      </c>
      <c r="K310" s="49"/>
      <c r="L310" s="50"/>
      <c r="M310" s="72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</row>
    <row r="311" spans="1:33" s="17" customFormat="1" ht="80.25" customHeight="1">
      <c r="A311" s="23" t="s">
        <v>440</v>
      </c>
      <c r="B311" s="27" t="s">
        <v>494</v>
      </c>
      <c r="C311" s="23" t="s">
        <v>176</v>
      </c>
      <c r="D311" s="23" t="s">
        <v>97</v>
      </c>
      <c r="E311" s="23" t="s">
        <v>549</v>
      </c>
      <c r="F311" s="23"/>
      <c r="G311" s="54">
        <f>G312+G314</f>
        <v>2641.7999999999997</v>
      </c>
      <c r="H311" s="54">
        <f>H312+H314</f>
        <v>2717.4999999999995</v>
      </c>
      <c r="I311" s="54">
        <f>I312+I314</f>
        <v>2717.5</v>
      </c>
      <c r="J311" s="77">
        <f t="shared" si="49"/>
        <v>100.00000000000003</v>
      </c>
      <c r="K311" s="55">
        <v>1762.8</v>
      </c>
      <c r="L311" s="46"/>
      <c r="M311" s="74"/>
      <c r="N311" s="65"/>
      <c r="O311" s="65"/>
      <c r="P311" s="65"/>
      <c r="Q311" s="65"/>
      <c r="R311" s="65"/>
      <c r="S311" s="65"/>
      <c r="T311" s="65">
        <v>2229.6</v>
      </c>
      <c r="U311" s="65"/>
      <c r="V311" s="65"/>
      <c r="W311" s="65"/>
      <c r="X311" s="65"/>
      <c r="Y311" s="65"/>
      <c r="Z311" s="65"/>
      <c r="AA311" s="65">
        <v>2238.1</v>
      </c>
      <c r="AB311" s="65"/>
      <c r="AC311" s="43">
        <v>2641.8</v>
      </c>
      <c r="AD311" s="65"/>
      <c r="AE311" s="65"/>
      <c r="AF311" s="65"/>
      <c r="AG311" s="65"/>
    </row>
    <row r="312" spans="1:33" s="15" customFormat="1" ht="59.25" customHeight="1">
      <c r="A312" s="23" t="s">
        <v>441</v>
      </c>
      <c r="B312" s="25" t="s">
        <v>181</v>
      </c>
      <c r="C312" s="23" t="s">
        <v>176</v>
      </c>
      <c r="D312" s="23" t="s">
        <v>97</v>
      </c>
      <c r="E312" s="23" t="s">
        <v>549</v>
      </c>
      <c r="F312" s="23" t="s">
        <v>179</v>
      </c>
      <c r="G312" s="54">
        <f>G313</f>
        <v>2404.2</v>
      </c>
      <c r="H312" s="54">
        <f>H313</f>
        <v>2479.8999999999996</v>
      </c>
      <c r="I312" s="54">
        <f>I313</f>
        <v>2479.9</v>
      </c>
      <c r="J312" s="77">
        <f t="shared" si="49"/>
        <v>100.00000000000003</v>
      </c>
      <c r="K312" s="47"/>
      <c r="L312" s="48"/>
      <c r="M312" s="86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</row>
    <row r="313" spans="1:33" s="16" customFormat="1" ht="34.5" customHeight="1">
      <c r="A313" s="23" t="s">
        <v>677</v>
      </c>
      <c r="B313" s="25" t="s">
        <v>300</v>
      </c>
      <c r="C313" s="23" t="s">
        <v>176</v>
      </c>
      <c r="D313" s="23" t="s">
        <v>97</v>
      </c>
      <c r="E313" s="23" t="s">
        <v>549</v>
      </c>
      <c r="F313" s="23" t="s">
        <v>180</v>
      </c>
      <c r="G313" s="54">
        <v>2404.2</v>
      </c>
      <c r="H313" s="54">
        <f>2404.2+75.7</f>
        <v>2479.8999999999996</v>
      </c>
      <c r="I313" s="54">
        <v>2479.9</v>
      </c>
      <c r="J313" s="77">
        <f t="shared" si="49"/>
        <v>100.00000000000003</v>
      </c>
      <c r="K313" s="49"/>
      <c r="L313" s="50"/>
      <c r="M313" s="72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</row>
    <row r="314" spans="1:33" s="16" customFormat="1" ht="34.5" customHeight="1">
      <c r="A314" s="23" t="s">
        <v>678</v>
      </c>
      <c r="B314" s="22" t="s">
        <v>144</v>
      </c>
      <c r="C314" s="23" t="s">
        <v>176</v>
      </c>
      <c r="D314" s="23" t="s">
        <v>97</v>
      </c>
      <c r="E314" s="23" t="s">
        <v>549</v>
      </c>
      <c r="F314" s="23" t="s">
        <v>109</v>
      </c>
      <c r="G314" s="54">
        <f>G315</f>
        <v>237.6</v>
      </c>
      <c r="H314" s="54">
        <f>H315</f>
        <v>237.6</v>
      </c>
      <c r="I314" s="54">
        <f>I315</f>
        <v>237.6</v>
      </c>
      <c r="J314" s="77">
        <f t="shared" si="49"/>
        <v>100</v>
      </c>
      <c r="K314" s="49"/>
      <c r="L314" s="50"/>
      <c r="M314" s="72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</row>
    <row r="315" spans="1:33" s="16" customFormat="1" ht="32.25" customHeight="1">
      <c r="A315" s="23" t="s">
        <v>1038</v>
      </c>
      <c r="B315" s="22" t="s">
        <v>145</v>
      </c>
      <c r="C315" s="23" t="s">
        <v>176</v>
      </c>
      <c r="D315" s="23" t="s">
        <v>97</v>
      </c>
      <c r="E315" s="23" t="s">
        <v>549</v>
      </c>
      <c r="F315" s="23" t="s">
        <v>102</v>
      </c>
      <c r="G315" s="54">
        <v>237.6</v>
      </c>
      <c r="H315" s="54">
        <v>237.6</v>
      </c>
      <c r="I315" s="54">
        <v>237.6</v>
      </c>
      <c r="J315" s="77">
        <f aca="true" t="shared" si="60" ref="J315:J378">I315/H315*100</f>
        <v>100</v>
      </c>
      <c r="K315" s="49"/>
      <c r="L315" s="50"/>
      <c r="M315" s="72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</row>
    <row r="316" spans="1:33" s="16" customFormat="1" ht="18" customHeight="1">
      <c r="A316" s="23" t="s">
        <v>1039</v>
      </c>
      <c r="B316" s="35" t="s">
        <v>245</v>
      </c>
      <c r="C316" s="36" t="s">
        <v>176</v>
      </c>
      <c r="D316" s="36" t="s">
        <v>261</v>
      </c>
      <c r="E316" s="36" t="s">
        <v>160</v>
      </c>
      <c r="F316" s="36" t="s">
        <v>160</v>
      </c>
      <c r="G316" s="80">
        <f aca="true" t="shared" si="61" ref="G316:I320">G317</f>
        <v>29348</v>
      </c>
      <c r="H316" s="80">
        <f t="shared" si="61"/>
        <v>30698</v>
      </c>
      <c r="I316" s="80">
        <f t="shared" si="61"/>
        <v>30029.1</v>
      </c>
      <c r="J316" s="77">
        <f t="shared" si="60"/>
        <v>97.82103068603817</v>
      </c>
      <c r="K316" s="49"/>
      <c r="L316" s="50"/>
      <c r="M316" s="72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</row>
    <row r="317" spans="1:33" s="16" customFormat="1" ht="22.5" customHeight="1">
      <c r="A317" s="23" t="s">
        <v>1040</v>
      </c>
      <c r="B317" s="24" t="s">
        <v>408</v>
      </c>
      <c r="C317" s="23" t="s">
        <v>176</v>
      </c>
      <c r="D317" s="23" t="s">
        <v>261</v>
      </c>
      <c r="E317" s="23" t="s">
        <v>344</v>
      </c>
      <c r="F317" s="23"/>
      <c r="G317" s="58">
        <f t="shared" si="61"/>
        <v>29348</v>
      </c>
      <c r="H317" s="58">
        <f t="shared" si="61"/>
        <v>30698</v>
      </c>
      <c r="I317" s="58">
        <f t="shared" si="61"/>
        <v>30029.1</v>
      </c>
      <c r="J317" s="77">
        <f t="shared" si="60"/>
        <v>97.82103068603817</v>
      </c>
      <c r="K317" s="49"/>
      <c r="L317" s="50"/>
      <c r="M317" s="72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</row>
    <row r="318" spans="1:33" s="16" customFormat="1" ht="26.25" customHeight="1">
      <c r="A318" s="23" t="s">
        <v>90</v>
      </c>
      <c r="B318" s="24" t="s">
        <v>409</v>
      </c>
      <c r="C318" s="23" t="s">
        <v>176</v>
      </c>
      <c r="D318" s="23" t="s">
        <v>261</v>
      </c>
      <c r="E318" s="23" t="s">
        <v>345</v>
      </c>
      <c r="F318" s="23"/>
      <c r="G318" s="58">
        <f t="shared" si="61"/>
        <v>29348</v>
      </c>
      <c r="H318" s="58">
        <f t="shared" si="61"/>
        <v>30698</v>
      </c>
      <c r="I318" s="58">
        <f t="shared" si="61"/>
        <v>30029.1</v>
      </c>
      <c r="J318" s="77">
        <f t="shared" si="60"/>
        <v>97.82103068603817</v>
      </c>
      <c r="K318" s="49"/>
      <c r="L318" s="50"/>
      <c r="M318" s="72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</row>
    <row r="319" spans="1:33" s="16" customFormat="1" ht="99" customHeight="1">
      <c r="A319" s="23" t="s">
        <v>1041</v>
      </c>
      <c r="B319" s="22" t="s">
        <v>413</v>
      </c>
      <c r="C319" s="23" t="s">
        <v>176</v>
      </c>
      <c r="D319" s="23" t="s">
        <v>261</v>
      </c>
      <c r="E319" s="23" t="s">
        <v>755</v>
      </c>
      <c r="F319" s="23"/>
      <c r="G319" s="58">
        <f t="shared" si="61"/>
        <v>29348</v>
      </c>
      <c r="H319" s="58">
        <f t="shared" si="61"/>
        <v>30698</v>
      </c>
      <c r="I319" s="58">
        <f t="shared" si="61"/>
        <v>30029.1</v>
      </c>
      <c r="J319" s="77">
        <f t="shared" si="60"/>
        <v>97.82103068603817</v>
      </c>
      <c r="K319" s="49"/>
      <c r="L319" s="49">
        <v>10391</v>
      </c>
      <c r="M319" s="72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>
        <v>29348</v>
      </c>
      <c r="AC319" s="75"/>
      <c r="AD319" s="75"/>
      <c r="AE319" s="75"/>
      <c r="AF319" s="75"/>
      <c r="AG319" s="75"/>
    </row>
    <row r="320" spans="1:33" s="16" customFormat="1" ht="24.75" customHeight="1">
      <c r="A320" s="23" t="s">
        <v>1042</v>
      </c>
      <c r="B320" s="24" t="s">
        <v>198</v>
      </c>
      <c r="C320" s="23" t="s">
        <v>176</v>
      </c>
      <c r="D320" s="23" t="s">
        <v>261</v>
      </c>
      <c r="E320" s="23" t="s">
        <v>755</v>
      </c>
      <c r="F320" s="23" t="s">
        <v>201</v>
      </c>
      <c r="G320" s="58">
        <f t="shared" si="61"/>
        <v>29348</v>
      </c>
      <c r="H320" s="58">
        <f t="shared" si="61"/>
        <v>30698</v>
      </c>
      <c r="I320" s="58">
        <f t="shared" si="61"/>
        <v>30029.1</v>
      </c>
      <c r="J320" s="77">
        <f t="shared" si="60"/>
        <v>97.82103068603817</v>
      </c>
      <c r="K320" s="49"/>
      <c r="L320" s="50"/>
      <c r="M320" s="72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</row>
    <row r="321" spans="1:33" s="16" customFormat="1" ht="38.25">
      <c r="A321" s="23" t="s">
        <v>1043</v>
      </c>
      <c r="B321" s="24" t="s">
        <v>101</v>
      </c>
      <c r="C321" s="23" t="s">
        <v>176</v>
      </c>
      <c r="D321" s="23" t="s">
        <v>261</v>
      </c>
      <c r="E321" s="23" t="s">
        <v>755</v>
      </c>
      <c r="F321" s="23" t="s">
        <v>262</v>
      </c>
      <c r="G321" s="58">
        <v>29348</v>
      </c>
      <c r="H321" s="58">
        <f>29348+1350</f>
        <v>30698</v>
      </c>
      <c r="I321" s="58">
        <v>30029.1</v>
      </c>
      <c r="J321" s="77">
        <f t="shared" si="60"/>
        <v>97.82103068603817</v>
      </c>
      <c r="K321" s="49"/>
      <c r="L321" s="50"/>
      <c r="M321" s="72"/>
      <c r="N321" s="75"/>
      <c r="O321" s="75"/>
      <c r="P321" s="75"/>
      <c r="Q321" s="75"/>
      <c r="R321" s="75"/>
      <c r="S321" s="75"/>
      <c r="T321" s="75"/>
      <c r="U321" s="75">
        <v>20763.4</v>
      </c>
      <c r="V321" s="75"/>
      <c r="W321" s="75"/>
      <c r="X321" s="75"/>
      <c r="Y321" s="75"/>
      <c r="Z321" s="75">
        <v>27811</v>
      </c>
      <c r="AA321" s="75"/>
      <c r="AB321" s="75"/>
      <c r="AC321" s="75"/>
      <c r="AD321" s="75"/>
      <c r="AE321" s="75"/>
      <c r="AF321" s="75">
        <v>1350</v>
      </c>
      <c r="AG321" s="75"/>
    </row>
    <row r="322" spans="1:33" s="16" customFormat="1" ht="21.75" customHeight="1">
      <c r="A322" s="23" t="s">
        <v>302</v>
      </c>
      <c r="B322" s="37" t="s">
        <v>1194</v>
      </c>
      <c r="C322" s="36" t="s">
        <v>176</v>
      </c>
      <c r="D322" s="36" t="s">
        <v>635</v>
      </c>
      <c r="E322" s="36"/>
      <c r="F322" s="36"/>
      <c r="G322" s="80">
        <f aca="true" t="shared" si="62" ref="G322:I323">G323</f>
        <v>0</v>
      </c>
      <c r="H322" s="80">
        <f t="shared" si="62"/>
        <v>213.20000000000002</v>
      </c>
      <c r="I322" s="80">
        <f t="shared" si="62"/>
        <v>213</v>
      </c>
      <c r="J322" s="77">
        <f t="shared" si="60"/>
        <v>99.906191369606</v>
      </c>
      <c r="K322" s="49"/>
      <c r="L322" s="50"/>
      <c r="M322" s="72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</row>
    <row r="323" spans="1:33" s="16" customFormat="1" ht="59.25" customHeight="1">
      <c r="A323" s="23" t="s">
        <v>303</v>
      </c>
      <c r="B323" s="24" t="s">
        <v>293</v>
      </c>
      <c r="C323" s="23" t="s">
        <v>176</v>
      </c>
      <c r="D323" s="23" t="s">
        <v>635</v>
      </c>
      <c r="E323" s="23" t="s">
        <v>363</v>
      </c>
      <c r="F323" s="23"/>
      <c r="G323" s="58">
        <f t="shared" si="62"/>
        <v>0</v>
      </c>
      <c r="H323" s="58">
        <f t="shared" si="62"/>
        <v>213.20000000000002</v>
      </c>
      <c r="I323" s="58">
        <f t="shared" si="62"/>
        <v>213</v>
      </c>
      <c r="J323" s="77">
        <f t="shared" si="60"/>
        <v>99.906191369606</v>
      </c>
      <c r="K323" s="49"/>
      <c r="L323" s="50"/>
      <c r="M323" s="72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</row>
    <row r="324" spans="1:33" s="16" customFormat="1" ht="23.25" customHeight="1">
      <c r="A324" s="23" t="s">
        <v>304</v>
      </c>
      <c r="B324" s="24" t="s">
        <v>402</v>
      </c>
      <c r="C324" s="23" t="s">
        <v>176</v>
      </c>
      <c r="D324" s="23" t="s">
        <v>635</v>
      </c>
      <c r="E324" s="23" t="s">
        <v>372</v>
      </c>
      <c r="F324" s="23"/>
      <c r="G324" s="58">
        <f>G325+G328</f>
        <v>0</v>
      </c>
      <c r="H324" s="58">
        <f>H325+H328</f>
        <v>213.20000000000002</v>
      </c>
      <c r="I324" s="58">
        <f>I325+I328</f>
        <v>213</v>
      </c>
      <c r="J324" s="77">
        <f t="shared" si="60"/>
        <v>99.906191369606</v>
      </c>
      <c r="K324" s="49"/>
      <c r="L324" s="50"/>
      <c r="M324" s="72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</row>
    <row r="325" spans="1:33" s="16" customFormat="1" ht="94.5" customHeight="1">
      <c r="A325" s="23" t="s">
        <v>67</v>
      </c>
      <c r="B325" s="24" t="s">
        <v>1195</v>
      </c>
      <c r="C325" s="23" t="s">
        <v>176</v>
      </c>
      <c r="D325" s="23" t="s">
        <v>635</v>
      </c>
      <c r="E325" s="23" t="s">
        <v>1196</v>
      </c>
      <c r="F325" s="23"/>
      <c r="G325" s="58">
        <f aca="true" t="shared" si="63" ref="G325:I326">SUM(G326)</f>
        <v>0</v>
      </c>
      <c r="H325" s="58">
        <f t="shared" si="63"/>
        <v>212.8</v>
      </c>
      <c r="I325" s="58">
        <f t="shared" si="63"/>
        <v>212.8</v>
      </c>
      <c r="J325" s="77">
        <f t="shared" si="60"/>
        <v>100</v>
      </c>
      <c r="K325" s="49"/>
      <c r="L325" s="50"/>
      <c r="M325" s="72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</row>
    <row r="326" spans="1:33" s="16" customFormat="1" ht="35.25" customHeight="1">
      <c r="A326" s="23" t="s">
        <v>68</v>
      </c>
      <c r="B326" s="24" t="s">
        <v>144</v>
      </c>
      <c r="C326" s="23" t="s">
        <v>176</v>
      </c>
      <c r="D326" s="23" t="s">
        <v>635</v>
      </c>
      <c r="E326" s="23" t="s">
        <v>1196</v>
      </c>
      <c r="F326" s="23" t="s">
        <v>109</v>
      </c>
      <c r="G326" s="58">
        <f t="shared" si="63"/>
        <v>0</v>
      </c>
      <c r="H326" s="58">
        <f t="shared" si="63"/>
        <v>212.8</v>
      </c>
      <c r="I326" s="58">
        <f t="shared" si="63"/>
        <v>212.8</v>
      </c>
      <c r="J326" s="77">
        <f t="shared" si="60"/>
        <v>100</v>
      </c>
      <c r="K326" s="49"/>
      <c r="L326" s="50"/>
      <c r="M326" s="72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</row>
    <row r="327" spans="1:33" s="16" customFormat="1" ht="36" customHeight="1">
      <c r="A327" s="23" t="s">
        <v>679</v>
      </c>
      <c r="B327" s="24" t="s">
        <v>145</v>
      </c>
      <c r="C327" s="23" t="s">
        <v>176</v>
      </c>
      <c r="D327" s="23" t="s">
        <v>635</v>
      </c>
      <c r="E327" s="23" t="s">
        <v>1196</v>
      </c>
      <c r="F327" s="23" t="s">
        <v>102</v>
      </c>
      <c r="G327" s="58">
        <v>0</v>
      </c>
      <c r="H327" s="58">
        <f>213.3-0.5</f>
        <v>212.8</v>
      </c>
      <c r="I327" s="58">
        <v>212.8</v>
      </c>
      <c r="J327" s="77">
        <f t="shared" si="60"/>
        <v>100</v>
      </c>
      <c r="K327" s="49"/>
      <c r="L327" s="50"/>
      <c r="M327" s="72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>
        <v>213.3</v>
      </c>
      <c r="AE327" s="75"/>
      <c r="AF327" s="75"/>
      <c r="AG327" s="75">
        <v>-0.5</v>
      </c>
    </row>
    <row r="328" spans="1:33" s="16" customFormat="1" ht="99.75" customHeight="1">
      <c r="A328" s="23" t="s">
        <v>249</v>
      </c>
      <c r="B328" s="24" t="s">
        <v>1197</v>
      </c>
      <c r="C328" s="23" t="s">
        <v>176</v>
      </c>
      <c r="D328" s="23" t="s">
        <v>635</v>
      </c>
      <c r="E328" s="23" t="s">
        <v>1196</v>
      </c>
      <c r="F328" s="23"/>
      <c r="G328" s="58">
        <f aca="true" t="shared" si="64" ref="G328:I329">SUM(G329)</f>
        <v>0</v>
      </c>
      <c r="H328" s="58">
        <f t="shared" si="64"/>
        <v>0.4</v>
      </c>
      <c r="I328" s="58">
        <f t="shared" si="64"/>
        <v>0.2</v>
      </c>
      <c r="J328" s="77">
        <f t="shared" si="60"/>
        <v>50</v>
      </c>
      <c r="K328" s="49"/>
      <c r="L328" s="50"/>
      <c r="M328" s="72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</row>
    <row r="329" spans="1:33" s="16" customFormat="1" ht="33.75" customHeight="1">
      <c r="A329" s="23" t="s">
        <v>680</v>
      </c>
      <c r="B329" s="24" t="s">
        <v>144</v>
      </c>
      <c r="C329" s="23" t="s">
        <v>176</v>
      </c>
      <c r="D329" s="23" t="s">
        <v>635</v>
      </c>
      <c r="E329" s="23" t="s">
        <v>1196</v>
      </c>
      <c r="F329" s="23" t="s">
        <v>109</v>
      </c>
      <c r="G329" s="58">
        <f t="shared" si="64"/>
        <v>0</v>
      </c>
      <c r="H329" s="58">
        <f t="shared" si="64"/>
        <v>0.4</v>
      </c>
      <c r="I329" s="58">
        <f t="shared" si="64"/>
        <v>0.2</v>
      </c>
      <c r="J329" s="77">
        <f t="shared" si="60"/>
        <v>50</v>
      </c>
      <c r="K329" s="49"/>
      <c r="L329" s="50"/>
      <c r="M329" s="72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</row>
    <row r="330" spans="1:33" s="16" customFormat="1" ht="31.5" customHeight="1">
      <c r="A330" s="23" t="s">
        <v>681</v>
      </c>
      <c r="B330" s="24" t="s">
        <v>145</v>
      </c>
      <c r="C330" s="23" t="s">
        <v>176</v>
      </c>
      <c r="D330" s="23" t="s">
        <v>635</v>
      </c>
      <c r="E330" s="23" t="s">
        <v>1196</v>
      </c>
      <c r="F330" s="23" t="s">
        <v>102</v>
      </c>
      <c r="G330" s="58">
        <v>0</v>
      </c>
      <c r="H330" s="58">
        <v>0.4</v>
      </c>
      <c r="I330" s="58">
        <v>0.2</v>
      </c>
      <c r="J330" s="77">
        <f t="shared" si="60"/>
        <v>50</v>
      </c>
      <c r="K330" s="49"/>
      <c r="L330" s="50"/>
      <c r="M330" s="72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>
        <v>0.4</v>
      </c>
      <c r="AF330" s="75"/>
      <c r="AG330" s="75"/>
    </row>
    <row r="331" spans="1:33" s="16" customFormat="1" ht="24.75" customHeight="1">
      <c r="A331" s="23" t="s">
        <v>682</v>
      </c>
      <c r="B331" s="35" t="s">
        <v>263</v>
      </c>
      <c r="C331" s="36" t="s">
        <v>176</v>
      </c>
      <c r="D331" s="36" t="s">
        <v>264</v>
      </c>
      <c r="E331" s="101"/>
      <c r="F331" s="36"/>
      <c r="G331" s="80">
        <f>G332+G355</f>
        <v>1669.8</v>
      </c>
      <c r="H331" s="80">
        <f>H332+H355</f>
        <v>1654.8</v>
      </c>
      <c r="I331" s="80">
        <f>I332+I355</f>
        <v>1653.5</v>
      </c>
      <c r="J331" s="77">
        <f t="shared" si="60"/>
        <v>99.92144065748127</v>
      </c>
      <c r="K331" s="49"/>
      <c r="L331" s="50"/>
      <c r="M331" s="72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</row>
    <row r="332" spans="1:33" s="16" customFormat="1" ht="34.5" customHeight="1">
      <c r="A332" s="23" t="s">
        <v>683</v>
      </c>
      <c r="B332" s="22" t="s">
        <v>407</v>
      </c>
      <c r="C332" s="23" t="s">
        <v>176</v>
      </c>
      <c r="D332" s="23" t="s">
        <v>264</v>
      </c>
      <c r="E332" s="23" t="s">
        <v>346</v>
      </c>
      <c r="F332" s="23"/>
      <c r="G332" s="58">
        <f>G333</f>
        <v>1089.8</v>
      </c>
      <c r="H332" s="58">
        <f>H333</f>
        <v>1629.8</v>
      </c>
      <c r="I332" s="58">
        <f>I333</f>
        <v>1628.5</v>
      </c>
      <c r="J332" s="77">
        <f t="shared" si="60"/>
        <v>99.9202356117315</v>
      </c>
      <c r="K332" s="49"/>
      <c r="L332" s="50"/>
      <c r="M332" s="72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</row>
    <row r="333" spans="1:33" s="16" customFormat="1" ht="37.5" customHeight="1">
      <c r="A333" s="23" t="s">
        <v>885</v>
      </c>
      <c r="B333" s="22" t="s">
        <v>279</v>
      </c>
      <c r="C333" s="23" t="s">
        <v>176</v>
      </c>
      <c r="D333" s="23" t="s">
        <v>264</v>
      </c>
      <c r="E333" s="23" t="s">
        <v>347</v>
      </c>
      <c r="F333" s="23"/>
      <c r="G333" s="58">
        <f>G337+G346+G334+G349+G352+G340+G343</f>
        <v>1089.8</v>
      </c>
      <c r="H333" s="58">
        <f>H337+H346+H334+H349+H352+H340+H343</f>
        <v>1629.8</v>
      </c>
      <c r="I333" s="58">
        <f>I337+I346+I334+I349+I352+I340+I343</f>
        <v>1628.5</v>
      </c>
      <c r="J333" s="77">
        <f t="shared" si="60"/>
        <v>99.9202356117315</v>
      </c>
      <c r="K333" s="49"/>
      <c r="L333" s="50"/>
      <c r="M333" s="72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</row>
    <row r="334" spans="1:33" s="16" customFormat="1" ht="119.25" customHeight="1">
      <c r="A334" s="23" t="s">
        <v>886</v>
      </c>
      <c r="B334" s="22" t="s">
        <v>1467</v>
      </c>
      <c r="C334" s="23" t="s">
        <v>176</v>
      </c>
      <c r="D334" s="23" t="s">
        <v>264</v>
      </c>
      <c r="E334" s="23" t="s">
        <v>954</v>
      </c>
      <c r="F334" s="23"/>
      <c r="G334" s="58">
        <f aca="true" t="shared" si="65" ref="G334:I335">G335</f>
        <v>889.8</v>
      </c>
      <c r="H334" s="58">
        <f t="shared" si="65"/>
        <v>889.8</v>
      </c>
      <c r="I334" s="58">
        <f t="shared" si="65"/>
        <v>889.8</v>
      </c>
      <c r="J334" s="77">
        <f t="shared" si="60"/>
        <v>100</v>
      </c>
      <c r="K334" s="49"/>
      <c r="L334" s="50"/>
      <c r="M334" s="72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>
        <v>726</v>
      </c>
      <c r="AB334" s="75"/>
      <c r="AC334" s="75"/>
      <c r="AD334" s="75"/>
      <c r="AE334" s="75"/>
      <c r="AF334" s="75"/>
      <c r="AG334" s="75"/>
    </row>
    <row r="335" spans="1:33" s="16" customFormat="1" ht="37.5" customHeight="1">
      <c r="A335" s="23" t="s">
        <v>887</v>
      </c>
      <c r="B335" s="25" t="s">
        <v>198</v>
      </c>
      <c r="C335" s="23" t="s">
        <v>176</v>
      </c>
      <c r="D335" s="23" t="s">
        <v>264</v>
      </c>
      <c r="E335" s="23" t="s">
        <v>954</v>
      </c>
      <c r="F335" s="23" t="s">
        <v>201</v>
      </c>
      <c r="G335" s="58">
        <f t="shared" si="65"/>
        <v>889.8</v>
      </c>
      <c r="H335" s="58">
        <f t="shared" si="65"/>
        <v>889.8</v>
      </c>
      <c r="I335" s="58">
        <f t="shared" si="65"/>
        <v>889.8</v>
      </c>
      <c r="J335" s="77">
        <f t="shared" si="60"/>
        <v>100</v>
      </c>
      <c r="K335" s="49"/>
      <c r="L335" s="50"/>
      <c r="M335" s="72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</row>
    <row r="336" spans="1:33" s="16" customFormat="1" ht="37.5" customHeight="1">
      <c r="A336" s="23" t="s">
        <v>888</v>
      </c>
      <c r="B336" s="24" t="s">
        <v>101</v>
      </c>
      <c r="C336" s="23" t="s">
        <v>176</v>
      </c>
      <c r="D336" s="23" t="s">
        <v>264</v>
      </c>
      <c r="E336" s="23" t="s">
        <v>954</v>
      </c>
      <c r="F336" s="23" t="s">
        <v>262</v>
      </c>
      <c r="G336" s="58">
        <v>889.8</v>
      </c>
      <c r="H336" s="58">
        <v>889.8</v>
      </c>
      <c r="I336" s="58">
        <v>889.8</v>
      </c>
      <c r="J336" s="77">
        <f t="shared" si="60"/>
        <v>100</v>
      </c>
      <c r="K336" s="49"/>
      <c r="L336" s="50"/>
      <c r="M336" s="72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>
        <v>889.8</v>
      </c>
      <c r="AD336" s="75"/>
      <c r="AE336" s="75"/>
      <c r="AF336" s="75"/>
      <c r="AG336" s="75"/>
    </row>
    <row r="337" spans="1:33" s="16" customFormat="1" ht="120.75" customHeight="1">
      <c r="A337" s="23" t="s">
        <v>889</v>
      </c>
      <c r="B337" s="22" t="s">
        <v>953</v>
      </c>
      <c r="C337" s="23" t="s">
        <v>176</v>
      </c>
      <c r="D337" s="23" t="s">
        <v>264</v>
      </c>
      <c r="E337" s="23" t="s">
        <v>954</v>
      </c>
      <c r="F337" s="23"/>
      <c r="G337" s="58">
        <f aca="true" t="shared" si="66" ref="G337:I344">G338</f>
        <v>107.7</v>
      </c>
      <c r="H337" s="58">
        <f t="shared" si="66"/>
        <v>111.5</v>
      </c>
      <c r="I337" s="58">
        <f t="shared" si="66"/>
        <v>110.2</v>
      </c>
      <c r="J337" s="77">
        <f t="shared" si="60"/>
        <v>98.83408071748879</v>
      </c>
      <c r="K337" s="49"/>
      <c r="L337" s="49">
        <v>70</v>
      </c>
      <c r="M337" s="72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</row>
    <row r="338" spans="1:33" s="15" customFormat="1" ht="24.75" customHeight="1">
      <c r="A338" s="23" t="s">
        <v>890</v>
      </c>
      <c r="B338" s="25" t="s">
        <v>198</v>
      </c>
      <c r="C338" s="23" t="s">
        <v>176</v>
      </c>
      <c r="D338" s="23" t="s">
        <v>264</v>
      </c>
      <c r="E338" s="23" t="s">
        <v>954</v>
      </c>
      <c r="F338" s="23" t="s">
        <v>201</v>
      </c>
      <c r="G338" s="58">
        <f t="shared" si="66"/>
        <v>107.7</v>
      </c>
      <c r="H338" s="58">
        <f t="shared" si="66"/>
        <v>111.5</v>
      </c>
      <c r="I338" s="58">
        <f t="shared" si="66"/>
        <v>110.2</v>
      </c>
      <c r="J338" s="77">
        <f t="shared" si="60"/>
        <v>98.83408071748879</v>
      </c>
      <c r="K338" s="47"/>
      <c r="L338" s="48"/>
      <c r="M338" s="86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</row>
    <row r="339" spans="1:33" s="16" customFormat="1" ht="46.5" customHeight="1">
      <c r="A339" s="23" t="s">
        <v>891</v>
      </c>
      <c r="B339" s="24" t="s">
        <v>101</v>
      </c>
      <c r="C339" s="23" t="s">
        <v>176</v>
      </c>
      <c r="D339" s="23" t="s">
        <v>264</v>
      </c>
      <c r="E339" s="23" t="s">
        <v>954</v>
      </c>
      <c r="F339" s="23" t="s">
        <v>262</v>
      </c>
      <c r="G339" s="58">
        <v>107.7</v>
      </c>
      <c r="H339" s="58">
        <f>107.7+3.8</f>
        <v>111.5</v>
      </c>
      <c r="I339" s="58">
        <v>110.2</v>
      </c>
      <c r="J339" s="77">
        <f t="shared" si="60"/>
        <v>98.83408071748879</v>
      </c>
      <c r="K339" s="49"/>
      <c r="L339" s="50"/>
      <c r="M339" s="72"/>
      <c r="N339" s="75"/>
      <c r="O339" s="75"/>
      <c r="P339" s="75"/>
      <c r="Q339" s="75"/>
      <c r="R339" s="75"/>
      <c r="S339" s="75"/>
      <c r="T339" s="75"/>
      <c r="U339" s="75">
        <v>70</v>
      </c>
      <c r="V339" s="75"/>
      <c r="W339" s="75"/>
      <c r="X339" s="75"/>
      <c r="Y339" s="75"/>
      <c r="Z339" s="75">
        <v>70</v>
      </c>
      <c r="AA339" s="75"/>
      <c r="AB339" s="75">
        <v>107.7</v>
      </c>
      <c r="AC339" s="75"/>
      <c r="AD339" s="75"/>
      <c r="AE339" s="75"/>
      <c r="AF339" s="75"/>
      <c r="AG339" s="75"/>
    </row>
    <row r="340" spans="1:33" s="16" customFormat="1" ht="130.5" customHeight="1">
      <c r="A340" s="23" t="s">
        <v>892</v>
      </c>
      <c r="B340" s="22" t="s">
        <v>1464</v>
      </c>
      <c r="C340" s="23" t="s">
        <v>176</v>
      </c>
      <c r="D340" s="23" t="s">
        <v>264</v>
      </c>
      <c r="E340" s="23" t="s">
        <v>1353</v>
      </c>
      <c r="F340" s="23"/>
      <c r="G340" s="58">
        <f t="shared" si="66"/>
        <v>0</v>
      </c>
      <c r="H340" s="58">
        <f t="shared" si="66"/>
        <v>540</v>
      </c>
      <c r="I340" s="58">
        <f t="shared" si="66"/>
        <v>540</v>
      </c>
      <c r="J340" s="77">
        <f t="shared" si="60"/>
        <v>100</v>
      </c>
      <c r="K340" s="49"/>
      <c r="L340" s="50"/>
      <c r="M340" s="72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</row>
    <row r="341" spans="1:33" s="16" customFormat="1" ht="36" customHeight="1">
      <c r="A341" s="23" t="s">
        <v>893</v>
      </c>
      <c r="B341" s="25" t="s">
        <v>198</v>
      </c>
      <c r="C341" s="23" t="s">
        <v>176</v>
      </c>
      <c r="D341" s="23" t="s">
        <v>264</v>
      </c>
      <c r="E341" s="23" t="s">
        <v>1353</v>
      </c>
      <c r="F341" s="23" t="s">
        <v>201</v>
      </c>
      <c r="G341" s="58">
        <f t="shared" si="66"/>
        <v>0</v>
      </c>
      <c r="H341" s="58">
        <f t="shared" si="66"/>
        <v>540</v>
      </c>
      <c r="I341" s="58">
        <f t="shared" si="66"/>
        <v>540</v>
      </c>
      <c r="J341" s="77">
        <f t="shared" si="60"/>
        <v>100</v>
      </c>
      <c r="K341" s="49"/>
      <c r="L341" s="50"/>
      <c r="M341" s="72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</row>
    <row r="342" spans="1:33" s="16" customFormat="1" ht="46.5" customHeight="1">
      <c r="A342" s="23" t="s">
        <v>134</v>
      </c>
      <c r="B342" s="24" t="s">
        <v>101</v>
      </c>
      <c r="C342" s="23" t="s">
        <v>176</v>
      </c>
      <c r="D342" s="23" t="s">
        <v>264</v>
      </c>
      <c r="E342" s="23" t="s">
        <v>1353</v>
      </c>
      <c r="F342" s="23" t="s">
        <v>262</v>
      </c>
      <c r="G342" s="58">
        <v>0</v>
      </c>
      <c r="H342" s="58">
        <v>540</v>
      </c>
      <c r="I342" s="58">
        <v>540</v>
      </c>
      <c r="J342" s="77">
        <f t="shared" si="60"/>
        <v>100</v>
      </c>
      <c r="K342" s="49"/>
      <c r="L342" s="50"/>
      <c r="M342" s="72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</row>
    <row r="343" spans="1:33" s="16" customFormat="1" ht="120.75" customHeight="1">
      <c r="A343" s="23" t="s">
        <v>609</v>
      </c>
      <c r="B343" s="22" t="s">
        <v>1465</v>
      </c>
      <c r="C343" s="23" t="s">
        <v>176</v>
      </c>
      <c r="D343" s="23" t="s">
        <v>264</v>
      </c>
      <c r="E343" s="23" t="s">
        <v>1353</v>
      </c>
      <c r="F343" s="23"/>
      <c r="G343" s="58">
        <f t="shared" si="66"/>
        <v>0</v>
      </c>
      <c r="H343" s="58">
        <f t="shared" si="66"/>
        <v>60</v>
      </c>
      <c r="I343" s="58">
        <f t="shared" si="66"/>
        <v>60</v>
      </c>
      <c r="J343" s="77">
        <f t="shared" si="60"/>
        <v>100</v>
      </c>
      <c r="K343" s="49"/>
      <c r="L343" s="50"/>
      <c r="M343" s="72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</row>
    <row r="344" spans="1:33" s="16" customFormat="1" ht="46.5" customHeight="1">
      <c r="A344" s="23" t="s">
        <v>610</v>
      </c>
      <c r="B344" s="25" t="s">
        <v>198</v>
      </c>
      <c r="C344" s="23" t="s">
        <v>176</v>
      </c>
      <c r="D344" s="23" t="s">
        <v>264</v>
      </c>
      <c r="E344" s="23" t="s">
        <v>1353</v>
      </c>
      <c r="F344" s="23" t="s">
        <v>201</v>
      </c>
      <c r="G344" s="58">
        <f t="shared" si="66"/>
        <v>0</v>
      </c>
      <c r="H344" s="58">
        <f t="shared" si="66"/>
        <v>60</v>
      </c>
      <c r="I344" s="58">
        <f t="shared" si="66"/>
        <v>60</v>
      </c>
      <c r="J344" s="77">
        <f t="shared" si="60"/>
        <v>100</v>
      </c>
      <c r="K344" s="49"/>
      <c r="L344" s="50"/>
      <c r="M344" s="72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</row>
    <row r="345" spans="1:33" s="16" customFormat="1" ht="46.5" customHeight="1">
      <c r="A345" s="23" t="s">
        <v>611</v>
      </c>
      <c r="B345" s="24" t="s">
        <v>101</v>
      </c>
      <c r="C345" s="23" t="s">
        <v>176</v>
      </c>
      <c r="D345" s="23" t="s">
        <v>264</v>
      </c>
      <c r="E345" s="23" t="s">
        <v>1353</v>
      </c>
      <c r="F345" s="23" t="s">
        <v>262</v>
      </c>
      <c r="G345" s="58">
        <v>0</v>
      </c>
      <c r="H345" s="58">
        <v>60</v>
      </c>
      <c r="I345" s="58">
        <v>60</v>
      </c>
      <c r="J345" s="77">
        <f t="shared" si="60"/>
        <v>100</v>
      </c>
      <c r="K345" s="49"/>
      <c r="L345" s="50"/>
      <c r="M345" s="72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</row>
    <row r="346" spans="1:33" s="16" customFormat="1" ht="81" customHeight="1">
      <c r="A346" s="23" t="s">
        <v>391</v>
      </c>
      <c r="B346" s="22" t="s">
        <v>1466</v>
      </c>
      <c r="C346" s="23" t="s">
        <v>176</v>
      </c>
      <c r="D346" s="23" t="s">
        <v>264</v>
      </c>
      <c r="E346" s="23" t="s">
        <v>756</v>
      </c>
      <c r="F346" s="23"/>
      <c r="G346" s="58">
        <f aca="true" t="shared" si="67" ref="G346:I353">G347</f>
        <v>92.3</v>
      </c>
      <c r="H346" s="58">
        <f t="shared" si="67"/>
        <v>0</v>
      </c>
      <c r="I346" s="58">
        <f t="shared" si="67"/>
        <v>0</v>
      </c>
      <c r="J346" s="77">
        <v>0</v>
      </c>
      <c r="K346" s="49"/>
      <c r="L346" s="49">
        <v>70</v>
      </c>
      <c r="M346" s="72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>
        <v>70</v>
      </c>
      <c r="AA346" s="75"/>
      <c r="AB346" s="75"/>
      <c r="AC346" s="75"/>
      <c r="AD346" s="75"/>
      <c r="AE346" s="75"/>
      <c r="AF346" s="75"/>
      <c r="AG346" s="75"/>
    </row>
    <row r="347" spans="1:33" s="16" customFormat="1" ht="25.5" customHeight="1">
      <c r="A347" s="23" t="s">
        <v>442</v>
      </c>
      <c r="B347" s="25" t="s">
        <v>198</v>
      </c>
      <c r="C347" s="23" t="s">
        <v>176</v>
      </c>
      <c r="D347" s="23" t="s">
        <v>264</v>
      </c>
      <c r="E347" s="23" t="s">
        <v>756</v>
      </c>
      <c r="F347" s="23" t="s">
        <v>201</v>
      </c>
      <c r="G347" s="58">
        <f t="shared" si="67"/>
        <v>92.3</v>
      </c>
      <c r="H347" s="58">
        <f t="shared" si="67"/>
        <v>0</v>
      </c>
      <c r="I347" s="58">
        <f t="shared" si="67"/>
        <v>0</v>
      </c>
      <c r="J347" s="77">
        <v>0</v>
      </c>
      <c r="K347" s="49"/>
      <c r="L347" s="50"/>
      <c r="M347" s="72"/>
      <c r="N347" s="75"/>
      <c r="O347" s="75"/>
      <c r="P347" s="75"/>
      <c r="Q347" s="75"/>
      <c r="R347" s="75"/>
      <c r="S347" s="75"/>
      <c r="T347" s="75"/>
      <c r="U347" s="75">
        <v>70</v>
      </c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</row>
    <row r="348" spans="1:33" s="16" customFormat="1" ht="46.5" customHeight="1">
      <c r="A348" s="23" t="s">
        <v>443</v>
      </c>
      <c r="B348" s="24" t="s">
        <v>101</v>
      </c>
      <c r="C348" s="23" t="s">
        <v>176</v>
      </c>
      <c r="D348" s="23" t="s">
        <v>264</v>
      </c>
      <c r="E348" s="23" t="s">
        <v>756</v>
      </c>
      <c r="F348" s="23" t="s">
        <v>262</v>
      </c>
      <c r="G348" s="58">
        <v>92.3</v>
      </c>
      <c r="H348" s="58">
        <f>92.3-92.3</f>
        <v>0</v>
      </c>
      <c r="I348" s="58">
        <v>0</v>
      </c>
      <c r="J348" s="77">
        <v>0</v>
      </c>
      <c r="K348" s="49"/>
      <c r="L348" s="50"/>
      <c r="M348" s="72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>
        <v>92.3</v>
      </c>
      <c r="AC348" s="75"/>
      <c r="AD348" s="75"/>
      <c r="AE348" s="75"/>
      <c r="AF348" s="75"/>
      <c r="AG348" s="75"/>
    </row>
    <row r="349" spans="1:33" s="16" customFormat="1" ht="105" customHeight="1">
      <c r="A349" s="23" t="s">
        <v>444</v>
      </c>
      <c r="B349" s="22" t="s">
        <v>1468</v>
      </c>
      <c r="C349" s="23" t="s">
        <v>176</v>
      </c>
      <c r="D349" s="23" t="s">
        <v>264</v>
      </c>
      <c r="E349" s="23" t="s">
        <v>1350</v>
      </c>
      <c r="F349" s="23"/>
      <c r="G349" s="58">
        <f t="shared" si="67"/>
        <v>0</v>
      </c>
      <c r="H349" s="58">
        <f t="shared" si="67"/>
        <v>15</v>
      </c>
      <c r="I349" s="58">
        <f t="shared" si="67"/>
        <v>15</v>
      </c>
      <c r="J349" s="77">
        <f t="shared" si="60"/>
        <v>100</v>
      </c>
      <c r="K349" s="49"/>
      <c r="L349" s="50"/>
      <c r="M349" s="72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</row>
    <row r="350" spans="1:33" s="16" customFormat="1" ht="27" customHeight="1">
      <c r="A350" s="23" t="s">
        <v>445</v>
      </c>
      <c r="B350" s="25" t="s">
        <v>198</v>
      </c>
      <c r="C350" s="23" t="s">
        <v>176</v>
      </c>
      <c r="D350" s="23" t="s">
        <v>264</v>
      </c>
      <c r="E350" s="23" t="s">
        <v>1350</v>
      </c>
      <c r="F350" s="23" t="s">
        <v>201</v>
      </c>
      <c r="G350" s="58">
        <f t="shared" si="67"/>
        <v>0</v>
      </c>
      <c r="H350" s="58">
        <f t="shared" si="67"/>
        <v>15</v>
      </c>
      <c r="I350" s="58">
        <f t="shared" si="67"/>
        <v>15</v>
      </c>
      <c r="J350" s="77">
        <f t="shared" si="60"/>
        <v>100</v>
      </c>
      <c r="K350" s="49"/>
      <c r="L350" s="50"/>
      <c r="M350" s="72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</row>
    <row r="351" spans="1:33" s="16" customFormat="1" ht="32.25" customHeight="1">
      <c r="A351" s="23" t="s">
        <v>612</v>
      </c>
      <c r="B351" s="25" t="s">
        <v>199</v>
      </c>
      <c r="C351" s="23" t="s">
        <v>176</v>
      </c>
      <c r="D351" s="23" t="s">
        <v>264</v>
      </c>
      <c r="E351" s="23" t="s">
        <v>1350</v>
      </c>
      <c r="F351" s="23" t="s">
        <v>202</v>
      </c>
      <c r="G351" s="58">
        <v>0</v>
      </c>
      <c r="H351" s="58">
        <v>15</v>
      </c>
      <c r="I351" s="58">
        <v>15</v>
      </c>
      <c r="J351" s="77">
        <f t="shared" si="60"/>
        <v>100</v>
      </c>
      <c r="K351" s="49"/>
      <c r="L351" s="50"/>
      <c r="M351" s="72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</row>
    <row r="352" spans="1:33" s="16" customFormat="1" ht="105.75" customHeight="1">
      <c r="A352" s="23" t="s">
        <v>684</v>
      </c>
      <c r="B352" s="22" t="s">
        <v>1352</v>
      </c>
      <c r="C352" s="23" t="s">
        <v>176</v>
      </c>
      <c r="D352" s="23" t="s">
        <v>264</v>
      </c>
      <c r="E352" s="23" t="s">
        <v>1351</v>
      </c>
      <c r="F352" s="23"/>
      <c r="G352" s="58">
        <f t="shared" si="67"/>
        <v>0</v>
      </c>
      <c r="H352" s="58">
        <f t="shared" si="67"/>
        <v>13.5</v>
      </c>
      <c r="I352" s="58">
        <f t="shared" si="67"/>
        <v>13.5</v>
      </c>
      <c r="J352" s="77">
        <f t="shared" si="60"/>
        <v>100</v>
      </c>
      <c r="K352" s="49"/>
      <c r="L352" s="50"/>
      <c r="M352" s="72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</row>
    <row r="353" spans="1:33" s="16" customFormat="1" ht="32.25" customHeight="1">
      <c r="A353" s="23" t="s">
        <v>1044</v>
      </c>
      <c r="B353" s="25" t="s">
        <v>198</v>
      </c>
      <c r="C353" s="23" t="s">
        <v>176</v>
      </c>
      <c r="D353" s="23" t="s">
        <v>264</v>
      </c>
      <c r="E353" s="23" t="s">
        <v>1351</v>
      </c>
      <c r="F353" s="23" t="s">
        <v>201</v>
      </c>
      <c r="G353" s="58">
        <f t="shared" si="67"/>
        <v>0</v>
      </c>
      <c r="H353" s="58">
        <f t="shared" si="67"/>
        <v>13.5</v>
      </c>
      <c r="I353" s="58">
        <f t="shared" si="67"/>
        <v>13.5</v>
      </c>
      <c r="J353" s="77">
        <f t="shared" si="60"/>
        <v>100</v>
      </c>
      <c r="K353" s="49"/>
      <c r="L353" s="50"/>
      <c r="M353" s="72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</row>
    <row r="354" spans="1:33" s="16" customFormat="1" ht="32.25" customHeight="1">
      <c r="A354" s="23" t="s">
        <v>1045</v>
      </c>
      <c r="B354" s="25" t="s">
        <v>199</v>
      </c>
      <c r="C354" s="23" t="s">
        <v>176</v>
      </c>
      <c r="D354" s="23" t="s">
        <v>264</v>
      </c>
      <c r="E354" s="23" t="s">
        <v>1351</v>
      </c>
      <c r="F354" s="23" t="s">
        <v>202</v>
      </c>
      <c r="G354" s="58">
        <v>0</v>
      </c>
      <c r="H354" s="58">
        <v>13.5</v>
      </c>
      <c r="I354" s="58">
        <v>13.5</v>
      </c>
      <c r="J354" s="77">
        <f t="shared" si="60"/>
        <v>100</v>
      </c>
      <c r="K354" s="49"/>
      <c r="L354" s="50"/>
      <c r="M354" s="72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</row>
    <row r="355" spans="1:33" s="16" customFormat="1" ht="45" customHeight="1">
      <c r="A355" s="23" t="s">
        <v>1046</v>
      </c>
      <c r="B355" s="22" t="s">
        <v>292</v>
      </c>
      <c r="C355" s="23" t="s">
        <v>176</v>
      </c>
      <c r="D355" s="23" t="s">
        <v>264</v>
      </c>
      <c r="E355" s="23" t="s">
        <v>327</v>
      </c>
      <c r="F355" s="23"/>
      <c r="G355" s="58">
        <f>G356+G360</f>
        <v>580</v>
      </c>
      <c r="H355" s="58">
        <f>H356+H360</f>
        <v>25</v>
      </c>
      <c r="I355" s="58">
        <f aca="true" t="shared" si="68" ref="G355:I356">I356</f>
        <v>25</v>
      </c>
      <c r="J355" s="77">
        <f t="shared" si="60"/>
        <v>100</v>
      </c>
      <c r="K355" s="49"/>
      <c r="L355" s="50"/>
      <c r="M355" s="72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</row>
    <row r="356" spans="1:33" s="16" customFormat="1" ht="34.5" customHeight="1">
      <c r="A356" s="23" t="s">
        <v>1047</v>
      </c>
      <c r="B356" s="22" t="s">
        <v>50</v>
      </c>
      <c r="C356" s="23" t="s">
        <v>176</v>
      </c>
      <c r="D356" s="23" t="s">
        <v>264</v>
      </c>
      <c r="E356" s="23" t="s">
        <v>514</v>
      </c>
      <c r="F356" s="23"/>
      <c r="G356" s="58">
        <f t="shared" si="68"/>
        <v>100</v>
      </c>
      <c r="H356" s="58">
        <f t="shared" si="68"/>
        <v>25</v>
      </c>
      <c r="I356" s="58">
        <f t="shared" si="68"/>
        <v>25</v>
      </c>
      <c r="J356" s="77">
        <f t="shared" si="60"/>
        <v>100</v>
      </c>
      <c r="K356" s="49"/>
      <c r="L356" s="50"/>
      <c r="M356" s="72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</row>
    <row r="357" spans="1:33" s="16" customFormat="1" ht="93.75" customHeight="1">
      <c r="A357" s="23" t="s">
        <v>1048</v>
      </c>
      <c r="B357" s="22" t="s">
        <v>1469</v>
      </c>
      <c r="C357" s="23" t="s">
        <v>176</v>
      </c>
      <c r="D357" s="23" t="s">
        <v>264</v>
      </c>
      <c r="E357" s="23" t="s">
        <v>737</v>
      </c>
      <c r="F357" s="23"/>
      <c r="G357" s="58">
        <f aca="true" t="shared" si="69" ref="G357:I358">G358</f>
        <v>100</v>
      </c>
      <c r="H357" s="58">
        <f t="shared" si="69"/>
        <v>25</v>
      </c>
      <c r="I357" s="58">
        <f t="shared" si="69"/>
        <v>25</v>
      </c>
      <c r="J357" s="77">
        <f t="shared" si="60"/>
        <v>100</v>
      </c>
      <c r="K357" s="49"/>
      <c r="L357" s="49">
        <v>40</v>
      </c>
      <c r="M357" s="72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</row>
    <row r="358" spans="1:33" s="16" customFormat="1" ht="32.25" customHeight="1">
      <c r="A358" s="23" t="s">
        <v>1049</v>
      </c>
      <c r="B358" s="22" t="s">
        <v>144</v>
      </c>
      <c r="C358" s="23" t="s">
        <v>176</v>
      </c>
      <c r="D358" s="23" t="s">
        <v>264</v>
      </c>
      <c r="E358" s="23" t="s">
        <v>737</v>
      </c>
      <c r="F358" s="23" t="s">
        <v>109</v>
      </c>
      <c r="G358" s="58">
        <f t="shared" si="69"/>
        <v>100</v>
      </c>
      <c r="H358" s="58">
        <f t="shared" si="69"/>
        <v>25</v>
      </c>
      <c r="I358" s="58">
        <f t="shared" si="69"/>
        <v>25</v>
      </c>
      <c r="J358" s="77">
        <f t="shared" si="60"/>
        <v>100</v>
      </c>
      <c r="K358" s="49"/>
      <c r="L358" s="50"/>
      <c r="M358" s="72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</row>
    <row r="359" spans="1:33" s="16" customFormat="1" ht="30.75" customHeight="1">
      <c r="A359" s="23" t="s">
        <v>1050</v>
      </c>
      <c r="B359" s="22" t="s">
        <v>145</v>
      </c>
      <c r="C359" s="23" t="s">
        <v>176</v>
      </c>
      <c r="D359" s="23" t="s">
        <v>264</v>
      </c>
      <c r="E359" s="23" t="s">
        <v>737</v>
      </c>
      <c r="F359" s="23" t="s">
        <v>102</v>
      </c>
      <c r="G359" s="58">
        <v>100</v>
      </c>
      <c r="H359" s="58">
        <f>100-75</f>
        <v>25</v>
      </c>
      <c r="I359" s="58">
        <v>25</v>
      </c>
      <c r="J359" s="77">
        <f t="shared" si="60"/>
        <v>100</v>
      </c>
      <c r="K359" s="49"/>
      <c r="L359" s="50"/>
      <c r="M359" s="72"/>
      <c r="N359" s="75">
        <v>-14.5</v>
      </c>
      <c r="O359" s="75"/>
      <c r="P359" s="75"/>
      <c r="Q359" s="75"/>
      <c r="R359" s="75"/>
      <c r="S359" s="75"/>
      <c r="T359" s="75"/>
      <c r="U359" s="75">
        <v>40</v>
      </c>
      <c r="V359" s="75"/>
      <c r="W359" s="75"/>
      <c r="X359" s="75">
        <v>85</v>
      </c>
      <c r="Y359" s="75"/>
      <c r="Z359" s="75">
        <v>100</v>
      </c>
      <c r="AA359" s="75"/>
      <c r="AB359" s="75">
        <v>100</v>
      </c>
      <c r="AC359" s="75"/>
      <c r="AD359" s="75"/>
      <c r="AE359" s="75"/>
      <c r="AF359" s="75">
        <v>-75</v>
      </c>
      <c r="AG359" s="75"/>
    </row>
    <row r="360" spans="1:33" s="16" customFormat="1" ht="60.75" customHeight="1">
      <c r="A360" s="23" t="s">
        <v>1051</v>
      </c>
      <c r="B360" s="22" t="s">
        <v>949</v>
      </c>
      <c r="C360" s="23" t="s">
        <v>176</v>
      </c>
      <c r="D360" s="23" t="s">
        <v>264</v>
      </c>
      <c r="E360" s="23" t="s">
        <v>642</v>
      </c>
      <c r="F360" s="23"/>
      <c r="G360" s="58">
        <f>G361</f>
        <v>480</v>
      </c>
      <c r="H360" s="58">
        <f>H361</f>
        <v>0</v>
      </c>
      <c r="I360" s="58">
        <f>I361</f>
        <v>0</v>
      </c>
      <c r="J360" s="77">
        <v>0</v>
      </c>
      <c r="K360" s="49"/>
      <c r="L360" s="50"/>
      <c r="M360" s="72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</row>
    <row r="361" spans="1:33" s="16" customFormat="1" ht="136.5" customHeight="1">
      <c r="A361" s="23" t="s">
        <v>1052</v>
      </c>
      <c r="B361" s="22" t="s">
        <v>1470</v>
      </c>
      <c r="C361" s="23" t="s">
        <v>176</v>
      </c>
      <c r="D361" s="23" t="s">
        <v>264</v>
      </c>
      <c r="E361" s="23" t="s">
        <v>643</v>
      </c>
      <c r="F361" s="23"/>
      <c r="G361" s="58">
        <f aca="true" t="shared" si="70" ref="G361:I362">G362</f>
        <v>480</v>
      </c>
      <c r="H361" s="58">
        <f t="shared" si="70"/>
        <v>0</v>
      </c>
      <c r="I361" s="58">
        <f t="shared" si="70"/>
        <v>0</v>
      </c>
      <c r="J361" s="77">
        <v>0</v>
      </c>
      <c r="K361" s="49"/>
      <c r="L361" s="50"/>
      <c r="M361" s="72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</row>
    <row r="362" spans="1:33" s="16" customFormat="1" ht="33" customHeight="1">
      <c r="A362" s="23" t="s">
        <v>685</v>
      </c>
      <c r="B362" s="22" t="s">
        <v>144</v>
      </c>
      <c r="C362" s="23" t="s">
        <v>176</v>
      </c>
      <c r="D362" s="23" t="s">
        <v>264</v>
      </c>
      <c r="E362" s="23" t="s">
        <v>643</v>
      </c>
      <c r="F362" s="23" t="s">
        <v>109</v>
      </c>
      <c r="G362" s="58">
        <f t="shared" si="70"/>
        <v>480</v>
      </c>
      <c r="H362" s="58">
        <f t="shared" si="70"/>
        <v>0</v>
      </c>
      <c r="I362" s="58">
        <f t="shared" si="70"/>
        <v>0</v>
      </c>
      <c r="J362" s="77">
        <v>0</v>
      </c>
      <c r="K362" s="49"/>
      <c r="L362" s="50"/>
      <c r="M362" s="72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</row>
    <row r="363" spans="1:33" s="16" customFormat="1" ht="31.5" customHeight="1">
      <c r="A363" s="23" t="s">
        <v>686</v>
      </c>
      <c r="B363" s="22" t="s">
        <v>145</v>
      </c>
      <c r="C363" s="23" t="s">
        <v>176</v>
      </c>
      <c r="D363" s="23" t="s">
        <v>264</v>
      </c>
      <c r="E363" s="23" t="s">
        <v>643</v>
      </c>
      <c r="F363" s="23" t="s">
        <v>102</v>
      </c>
      <c r="G363" s="58">
        <v>480</v>
      </c>
      <c r="H363" s="58">
        <f>480-480</f>
        <v>0</v>
      </c>
      <c r="I363" s="58">
        <v>0</v>
      </c>
      <c r="J363" s="77">
        <v>0</v>
      </c>
      <c r="K363" s="49"/>
      <c r="L363" s="50"/>
      <c r="M363" s="72"/>
      <c r="N363" s="75"/>
      <c r="O363" s="75"/>
      <c r="P363" s="75"/>
      <c r="Q363" s="75"/>
      <c r="R363" s="75"/>
      <c r="S363" s="75"/>
      <c r="T363" s="75"/>
      <c r="U363" s="75">
        <v>480</v>
      </c>
      <c r="V363" s="75"/>
      <c r="W363" s="75"/>
      <c r="X363" s="75"/>
      <c r="Y363" s="75"/>
      <c r="Z363" s="75">
        <v>480</v>
      </c>
      <c r="AA363" s="75"/>
      <c r="AB363" s="75">
        <v>480</v>
      </c>
      <c r="AC363" s="75"/>
      <c r="AD363" s="75"/>
      <c r="AE363" s="75"/>
      <c r="AF363" s="75">
        <v>-480</v>
      </c>
      <c r="AG363" s="75"/>
    </row>
    <row r="364" spans="1:33" s="16" customFormat="1" ht="21" customHeight="1">
      <c r="A364" s="23" t="s">
        <v>687</v>
      </c>
      <c r="B364" s="34" t="s">
        <v>286</v>
      </c>
      <c r="C364" s="31" t="s">
        <v>176</v>
      </c>
      <c r="D364" s="31" t="s">
        <v>284</v>
      </c>
      <c r="E364" s="100"/>
      <c r="F364" s="31"/>
      <c r="G364" s="79">
        <f>G365+G378</f>
        <v>79447.99999999999</v>
      </c>
      <c r="H364" s="79">
        <f>H365+H378</f>
        <v>100629.29999999999</v>
      </c>
      <c r="I364" s="79">
        <f>I365+I378</f>
        <v>100434.3</v>
      </c>
      <c r="J364" s="77">
        <f t="shared" si="60"/>
        <v>99.80621946093237</v>
      </c>
      <c r="K364" s="49"/>
      <c r="L364" s="50"/>
      <c r="M364" s="72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</row>
    <row r="365" spans="1:33" s="16" customFormat="1" ht="26.25" customHeight="1">
      <c r="A365" s="23" t="s">
        <v>688</v>
      </c>
      <c r="B365" s="35" t="s">
        <v>287</v>
      </c>
      <c r="C365" s="36" t="s">
        <v>176</v>
      </c>
      <c r="D365" s="36" t="s">
        <v>285</v>
      </c>
      <c r="E365" s="101"/>
      <c r="F365" s="36"/>
      <c r="G365" s="80">
        <f>G366</f>
        <v>1000.4</v>
      </c>
      <c r="H365" s="80">
        <f>H366</f>
        <v>1117.1999999999998</v>
      </c>
      <c r="I365" s="80">
        <f>I366</f>
        <v>1030.6</v>
      </c>
      <c r="J365" s="77">
        <f t="shared" si="60"/>
        <v>92.2484783387039</v>
      </c>
      <c r="K365" s="49"/>
      <c r="L365" s="50"/>
      <c r="M365" s="72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</row>
    <row r="366" spans="1:33" s="16" customFormat="1" ht="58.5" customHeight="1">
      <c r="A366" s="23" t="s">
        <v>689</v>
      </c>
      <c r="B366" s="24" t="s">
        <v>293</v>
      </c>
      <c r="C366" s="23" t="s">
        <v>176</v>
      </c>
      <c r="D366" s="23" t="s">
        <v>285</v>
      </c>
      <c r="E366" s="23" t="s">
        <v>363</v>
      </c>
      <c r="F366" s="23"/>
      <c r="G366" s="58">
        <f>G367+G374</f>
        <v>1000.4</v>
      </c>
      <c r="H366" s="58">
        <f>H367+H374</f>
        <v>1117.1999999999998</v>
      </c>
      <c r="I366" s="58">
        <f>I367+I374</f>
        <v>1030.6</v>
      </c>
      <c r="J366" s="77">
        <f t="shared" si="60"/>
        <v>92.2484783387039</v>
      </c>
      <c r="K366" s="49"/>
      <c r="L366" s="50"/>
      <c r="M366" s="72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</row>
    <row r="367" spans="1:33" s="16" customFormat="1" ht="36" customHeight="1">
      <c r="A367" s="23" t="s">
        <v>894</v>
      </c>
      <c r="B367" s="22" t="s">
        <v>294</v>
      </c>
      <c r="C367" s="23" t="s">
        <v>176</v>
      </c>
      <c r="D367" s="36" t="s">
        <v>285</v>
      </c>
      <c r="E367" s="23" t="s">
        <v>364</v>
      </c>
      <c r="F367" s="23"/>
      <c r="G367" s="58">
        <f>G368+G371</f>
        <v>530</v>
      </c>
      <c r="H367" s="58">
        <f>H368+H371</f>
        <v>530</v>
      </c>
      <c r="I367" s="58">
        <f>I368+I371</f>
        <v>526.9</v>
      </c>
      <c r="J367" s="77">
        <f t="shared" si="60"/>
        <v>99.41509433962264</v>
      </c>
      <c r="K367" s="49"/>
      <c r="L367" s="50"/>
      <c r="M367" s="72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</row>
    <row r="368" spans="1:33" s="16" customFormat="1" ht="85.5" customHeight="1">
      <c r="A368" s="23" t="s">
        <v>895</v>
      </c>
      <c r="B368" s="22" t="s">
        <v>545</v>
      </c>
      <c r="C368" s="23" t="s">
        <v>176</v>
      </c>
      <c r="D368" s="23" t="s">
        <v>285</v>
      </c>
      <c r="E368" s="23" t="s">
        <v>739</v>
      </c>
      <c r="F368" s="23"/>
      <c r="G368" s="58">
        <f aca="true" t="shared" si="71" ref="G368:I372">G369</f>
        <v>500</v>
      </c>
      <c r="H368" s="58">
        <f t="shared" si="71"/>
        <v>500</v>
      </c>
      <c r="I368" s="58">
        <f t="shared" si="71"/>
        <v>496.9</v>
      </c>
      <c r="J368" s="77">
        <f t="shared" si="60"/>
        <v>99.38</v>
      </c>
      <c r="K368" s="49"/>
      <c r="L368" s="49">
        <v>285</v>
      </c>
      <c r="M368" s="72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</row>
    <row r="369" spans="1:33" s="16" customFormat="1" ht="26.25" customHeight="1">
      <c r="A369" s="23" t="s">
        <v>896</v>
      </c>
      <c r="B369" s="25" t="s">
        <v>198</v>
      </c>
      <c r="C369" s="23" t="s">
        <v>176</v>
      </c>
      <c r="D369" s="23" t="s">
        <v>285</v>
      </c>
      <c r="E369" s="23" t="s">
        <v>739</v>
      </c>
      <c r="F369" s="23" t="s">
        <v>201</v>
      </c>
      <c r="G369" s="58">
        <f t="shared" si="71"/>
        <v>500</v>
      </c>
      <c r="H369" s="58">
        <f t="shared" si="71"/>
        <v>500</v>
      </c>
      <c r="I369" s="58">
        <f t="shared" si="71"/>
        <v>496.9</v>
      </c>
      <c r="J369" s="77">
        <f t="shared" si="60"/>
        <v>99.38</v>
      </c>
      <c r="K369" s="49"/>
      <c r="L369" s="50"/>
      <c r="M369" s="72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</row>
    <row r="370" spans="1:33" s="16" customFormat="1" ht="49.5" customHeight="1">
      <c r="A370" s="23" t="s">
        <v>857</v>
      </c>
      <c r="B370" s="24" t="s">
        <v>101</v>
      </c>
      <c r="C370" s="23" t="s">
        <v>176</v>
      </c>
      <c r="D370" s="23" t="s">
        <v>285</v>
      </c>
      <c r="E370" s="23" t="s">
        <v>739</v>
      </c>
      <c r="F370" s="23" t="s">
        <v>262</v>
      </c>
      <c r="G370" s="58">
        <v>500</v>
      </c>
      <c r="H370" s="58">
        <v>500</v>
      </c>
      <c r="I370" s="58">
        <v>496.9</v>
      </c>
      <c r="J370" s="77">
        <f t="shared" si="60"/>
        <v>99.38</v>
      </c>
      <c r="K370" s="49"/>
      <c r="L370" s="50"/>
      <c r="M370" s="72"/>
      <c r="N370" s="75">
        <v>215</v>
      </c>
      <c r="O370" s="75"/>
      <c r="P370" s="75"/>
      <c r="Q370" s="75"/>
      <c r="R370" s="75"/>
      <c r="S370" s="75"/>
      <c r="T370" s="75"/>
      <c r="U370" s="75">
        <v>500</v>
      </c>
      <c r="V370" s="75"/>
      <c r="W370" s="75"/>
      <c r="X370" s="75"/>
      <c r="Y370" s="75"/>
      <c r="Z370" s="75">
        <v>500</v>
      </c>
      <c r="AA370" s="75"/>
      <c r="AB370" s="75">
        <v>500</v>
      </c>
      <c r="AC370" s="75"/>
      <c r="AD370" s="75"/>
      <c r="AE370" s="75"/>
      <c r="AF370" s="75"/>
      <c r="AG370" s="75"/>
    </row>
    <row r="371" spans="1:33" s="16" customFormat="1" ht="86.25" customHeight="1">
      <c r="A371" s="23" t="s">
        <v>1053</v>
      </c>
      <c r="B371" s="22" t="s">
        <v>858</v>
      </c>
      <c r="C371" s="23" t="s">
        <v>176</v>
      </c>
      <c r="D371" s="23" t="s">
        <v>285</v>
      </c>
      <c r="E371" s="23" t="s">
        <v>859</v>
      </c>
      <c r="F371" s="23"/>
      <c r="G371" s="58">
        <f t="shared" si="71"/>
        <v>30</v>
      </c>
      <c r="H371" s="58">
        <f t="shared" si="71"/>
        <v>30</v>
      </c>
      <c r="I371" s="58">
        <f t="shared" si="71"/>
        <v>30</v>
      </c>
      <c r="J371" s="77">
        <f t="shared" si="60"/>
        <v>100</v>
      </c>
      <c r="K371" s="49"/>
      <c r="L371" s="50"/>
      <c r="M371" s="72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</row>
    <row r="372" spans="1:33" s="16" customFormat="1" ht="21.75" customHeight="1">
      <c r="A372" s="23" t="s">
        <v>1054</v>
      </c>
      <c r="B372" s="25" t="s">
        <v>198</v>
      </c>
      <c r="C372" s="23" t="s">
        <v>176</v>
      </c>
      <c r="D372" s="23" t="s">
        <v>285</v>
      </c>
      <c r="E372" s="23" t="s">
        <v>859</v>
      </c>
      <c r="F372" s="23" t="s">
        <v>201</v>
      </c>
      <c r="G372" s="58">
        <f t="shared" si="71"/>
        <v>30</v>
      </c>
      <c r="H372" s="58">
        <f t="shared" si="71"/>
        <v>30</v>
      </c>
      <c r="I372" s="58">
        <f t="shared" si="71"/>
        <v>30</v>
      </c>
      <c r="J372" s="77">
        <f t="shared" si="60"/>
        <v>100</v>
      </c>
      <c r="K372" s="49">
        <v>1122</v>
      </c>
      <c r="L372" s="50"/>
      <c r="M372" s="72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</row>
    <row r="373" spans="1:33" s="16" customFormat="1" ht="43.5" customHeight="1">
      <c r="A373" s="23" t="s">
        <v>1055</v>
      </c>
      <c r="B373" s="24" t="s">
        <v>101</v>
      </c>
      <c r="C373" s="23" t="s">
        <v>176</v>
      </c>
      <c r="D373" s="23" t="s">
        <v>285</v>
      </c>
      <c r="E373" s="23" t="s">
        <v>859</v>
      </c>
      <c r="F373" s="23" t="s">
        <v>262</v>
      </c>
      <c r="G373" s="58">
        <f>30-30+30</f>
        <v>30</v>
      </c>
      <c r="H373" s="58">
        <f>30-30+30</f>
        <v>30</v>
      </c>
      <c r="I373" s="58">
        <v>30</v>
      </c>
      <c r="J373" s="77">
        <f t="shared" si="60"/>
        <v>100</v>
      </c>
      <c r="K373" s="49"/>
      <c r="L373" s="50"/>
      <c r="M373" s="72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>
        <v>20</v>
      </c>
      <c r="AA373" s="75"/>
      <c r="AB373" s="75">
        <v>30</v>
      </c>
      <c r="AC373" s="75"/>
      <c r="AD373" s="75"/>
      <c r="AE373" s="75"/>
      <c r="AF373" s="75">
        <f>-30+30</f>
        <v>0</v>
      </c>
      <c r="AG373" s="75"/>
    </row>
    <row r="374" spans="1:33" s="16" customFormat="1" ht="19.5" customHeight="1">
      <c r="A374" s="23" t="s">
        <v>1056</v>
      </c>
      <c r="B374" s="22" t="s">
        <v>402</v>
      </c>
      <c r="C374" s="23" t="s">
        <v>176</v>
      </c>
      <c r="D374" s="23" t="s">
        <v>285</v>
      </c>
      <c r="E374" s="23" t="s">
        <v>372</v>
      </c>
      <c r="F374" s="23"/>
      <c r="G374" s="58">
        <f>SUM(G375)</f>
        <v>470.4</v>
      </c>
      <c r="H374" s="58">
        <f>SUM(H375)</f>
        <v>587.1999999999999</v>
      </c>
      <c r="I374" s="58">
        <f>SUM(I375)</f>
        <v>503.7</v>
      </c>
      <c r="J374" s="77">
        <f t="shared" si="60"/>
        <v>85.7799727520436</v>
      </c>
      <c r="K374" s="49"/>
      <c r="L374" s="50"/>
      <c r="M374" s="72"/>
      <c r="N374" s="75"/>
      <c r="O374" s="75"/>
      <c r="P374" s="75"/>
      <c r="Q374" s="75"/>
      <c r="R374" s="75"/>
      <c r="S374" s="75"/>
      <c r="T374" s="75">
        <v>571.6</v>
      </c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</row>
    <row r="375" spans="1:33" s="16" customFormat="1" ht="84" customHeight="1">
      <c r="A375" s="23" t="s">
        <v>1057</v>
      </c>
      <c r="B375" s="29" t="s">
        <v>495</v>
      </c>
      <c r="C375" s="23" t="s">
        <v>176</v>
      </c>
      <c r="D375" s="23" t="s">
        <v>285</v>
      </c>
      <c r="E375" s="23" t="s">
        <v>371</v>
      </c>
      <c r="F375" s="23"/>
      <c r="G375" s="58">
        <f>G376</f>
        <v>470.4</v>
      </c>
      <c r="H375" s="58">
        <f>H376</f>
        <v>587.1999999999999</v>
      </c>
      <c r="I375" s="58">
        <f aca="true" t="shared" si="72" ref="G375:I376">I376</f>
        <v>503.7</v>
      </c>
      <c r="J375" s="77">
        <f t="shared" si="60"/>
        <v>85.7799727520436</v>
      </c>
      <c r="K375" s="49"/>
      <c r="L375" s="75"/>
      <c r="M375" s="72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</row>
    <row r="376" spans="1:33" s="16" customFormat="1" ht="21" customHeight="1">
      <c r="A376" s="23" t="s">
        <v>1058</v>
      </c>
      <c r="B376" s="25" t="s">
        <v>198</v>
      </c>
      <c r="C376" s="23" t="s">
        <v>176</v>
      </c>
      <c r="D376" s="23" t="s">
        <v>285</v>
      </c>
      <c r="E376" s="23" t="s">
        <v>371</v>
      </c>
      <c r="F376" s="23" t="s">
        <v>201</v>
      </c>
      <c r="G376" s="58">
        <f t="shared" si="72"/>
        <v>470.4</v>
      </c>
      <c r="H376" s="58">
        <f t="shared" si="72"/>
        <v>587.1999999999999</v>
      </c>
      <c r="I376" s="58">
        <f t="shared" si="72"/>
        <v>503.7</v>
      </c>
      <c r="J376" s="77">
        <f t="shared" si="60"/>
        <v>85.7799727520436</v>
      </c>
      <c r="K376" s="55"/>
      <c r="L376" s="62"/>
      <c r="M376" s="72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</row>
    <row r="377" spans="1:33" s="16" customFormat="1" ht="47.25" customHeight="1">
      <c r="A377" s="23" t="s">
        <v>613</v>
      </c>
      <c r="B377" s="24" t="s">
        <v>101</v>
      </c>
      <c r="C377" s="23" t="s">
        <v>176</v>
      </c>
      <c r="D377" s="23" t="s">
        <v>285</v>
      </c>
      <c r="E377" s="23" t="s">
        <v>371</v>
      </c>
      <c r="F377" s="23" t="s">
        <v>262</v>
      </c>
      <c r="G377" s="58">
        <v>470.4</v>
      </c>
      <c r="H377" s="58">
        <f>470.4+116.8</f>
        <v>587.1999999999999</v>
      </c>
      <c r="I377" s="58">
        <v>503.7</v>
      </c>
      <c r="J377" s="77">
        <f t="shared" si="60"/>
        <v>85.7799727520436</v>
      </c>
      <c r="K377" s="49"/>
      <c r="L377" s="50"/>
      <c r="M377" s="72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>
        <v>661.9</v>
      </c>
      <c r="AB377" s="75"/>
      <c r="AC377" s="75">
        <v>470.4</v>
      </c>
      <c r="AD377" s="75"/>
      <c r="AE377" s="75"/>
      <c r="AF377" s="75"/>
      <c r="AG377" s="75">
        <v>116.8</v>
      </c>
    </row>
    <row r="378" spans="1:33" s="16" customFormat="1" ht="24" customHeight="1">
      <c r="A378" s="23" t="s">
        <v>614</v>
      </c>
      <c r="B378" s="37" t="s">
        <v>253</v>
      </c>
      <c r="C378" s="36" t="s">
        <v>176</v>
      </c>
      <c r="D378" s="36" t="s">
        <v>252</v>
      </c>
      <c r="E378" s="23"/>
      <c r="F378" s="23"/>
      <c r="G378" s="80">
        <f>SUM(G379)</f>
        <v>78447.59999999999</v>
      </c>
      <c r="H378" s="80">
        <f>SUM(H379)</f>
        <v>99512.09999999999</v>
      </c>
      <c r="I378" s="80">
        <f>SUM(I379)</f>
        <v>99403.7</v>
      </c>
      <c r="J378" s="77">
        <f t="shared" si="60"/>
        <v>99.89106852332532</v>
      </c>
      <c r="K378" s="49"/>
      <c r="L378" s="50">
        <v>30065.6</v>
      </c>
      <c r="M378" s="72"/>
      <c r="N378" s="75"/>
      <c r="O378" s="75"/>
      <c r="P378" s="75"/>
      <c r="Q378" s="75"/>
      <c r="R378" s="75"/>
      <c r="S378" s="75"/>
      <c r="T378" s="75"/>
      <c r="U378" s="9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</row>
    <row r="379" spans="1:33" s="16" customFormat="1" ht="58.5" customHeight="1">
      <c r="A379" s="23" t="s">
        <v>615</v>
      </c>
      <c r="B379" s="24" t="s">
        <v>293</v>
      </c>
      <c r="C379" s="23" t="s">
        <v>176</v>
      </c>
      <c r="D379" s="23" t="s">
        <v>252</v>
      </c>
      <c r="E379" s="23" t="s">
        <v>363</v>
      </c>
      <c r="F379" s="23"/>
      <c r="G379" s="58">
        <f>SUM(G380+G393)</f>
        <v>78447.59999999999</v>
      </c>
      <c r="H379" s="58">
        <f>SUM(H380+H393)</f>
        <v>99512.09999999999</v>
      </c>
      <c r="I379" s="58">
        <f>SUM(I380+I393)</f>
        <v>99403.7</v>
      </c>
      <c r="J379" s="77">
        <f aca="true" t="shared" si="73" ref="J379:J442">I379/H379*100</f>
        <v>99.89106852332532</v>
      </c>
      <c r="K379" s="49"/>
      <c r="L379" s="50"/>
      <c r="M379" s="72"/>
      <c r="N379" s="75"/>
      <c r="O379" s="75"/>
      <c r="P379" s="75"/>
      <c r="Q379" s="75"/>
      <c r="R379" s="75"/>
      <c r="S379" s="75"/>
      <c r="T379" s="75"/>
      <c r="U379" s="9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</row>
    <row r="380" spans="1:33" s="16" customFormat="1" ht="35.25" customHeight="1">
      <c r="A380" s="23" t="s">
        <v>1059</v>
      </c>
      <c r="B380" s="22" t="s">
        <v>294</v>
      </c>
      <c r="C380" s="23" t="s">
        <v>176</v>
      </c>
      <c r="D380" s="23" t="s">
        <v>252</v>
      </c>
      <c r="E380" s="23" t="s">
        <v>364</v>
      </c>
      <c r="F380" s="23"/>
      <c r="G380" s="80">
        <f>SUM(G381+G384+G390+G387)</f>
        <v>75442.4</v>
      </c>
      <c r="H380" s="80">
        <f>SUM(H381+H384+H390+H387)</f>
        <v>95885.9</v>
      </c>
      <c r="I380" s="80">
        <f>SUM(I381+I384+I390+I387)</f>
        <v>95801.9</v>
      </c>
      <c r="J380" s="77">
        <f t="shared" si="73"/>
        <v>99.91239587885184</v>
      </c>
      <c r="K380" s="49"/>
      <c r="L380" s="50"/>
      <c r="M380" s="72"/>
      <c r="N380" s="75"/>
      <c r="O380" s="75"/>
      <c r="P380" s="75"/>
      <c r="Q380" s="75"/>
      <c r="R380" s="75"/>
      <c r="S380" s="75"/>
      <c r="T380" s="75"/>
      <c r="U380" s="92">
        <v>30033.8</v>
      </c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</row>
    <row r="381" spans="1:33" s="16" customFormat="1" ht="83.25" customHeight="1">
      <c r="A381" s="23" t="s">
        <v>1060</v>
      </c>
      <c r="B381" s="63" t="s">
        <v>741</v>
      </c>
      <c r="C381" s="23" t="s">
        <v>176</v>
      </c>
      <c r="D381" s="23" t="s">
        <v>252</v>
      </c>
      <c r="E381" s="23" t="s">
        <v>740</v>
      </c>
      <c r="F381" s="23"/>
      <c r="G381" s="58">
        <f aca="true" t="shared" si="74" ref="G381:I382">SUM(G382)</f>
        <v>38607.4</v>
      </c>
      <c r="H381" s="58">
        <f t="shared" si="74"/>
        <v>38607.4</v>
      </c>
      <c r="I381" s="58">
        <f t="shared" si="74"/>
        <v>38607.4</v>
      </c>
      <c r="J381" s="77">
        <f t="shared" si="73"/>
        <v>100</v>
      </c>
      <c r="K381" s="49"/>
      <c r="L381" s="26">
        <v>30117.1</v>
      </c>
      <c r="M381" s="72"/>
      <c r="N381" s="75"/>
      <c r="O381" s="75"/>
      <c r="P381" s="75"/>
      <c r="Q381" s="75"/>
      <c r="R381" s="75"/>
      <c r="S381" s="75"/>
      <c r="T381" s="75"/>
      <c r="U381" s="9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</row>
    <row r="382" spans="1:33" s="16" customFormat="1" ht="33" customHeight="1">
      <c r="A382" s="23" t="s">
        <v>1061</v>
      </c>
      <c r="B382" s="22" t="s">
        <v>270</v>
      </c>
      <c r="C382" s="23" t="s">
        <v>176</v>
      </c>
      <c r="D382" s="23" t="s">
        <v>252</v>
      </c>
      <c r="E382" s="23" t="s">
        <v>740</v>
      </c>
      <c r="F382" s="23" t="s">
        <v>163</v>
      </c>
      <c r="G382" s="58">
        <f t="shared" si="74"/>
        <v>38607.4</v>
      </c>
      <c r="H382" s="58">
        <f t="shared" si="74"/>
        <v>38607.4</v>
      </c>
      <c r="I382" s="58">
        <f t="shared" si="74"/>
        <v>38607.4</v>
      </c>
      <c r="J382" s="77">
        <f t="shared" si="73"/>
        <v>100</v>
      </c>
      <c r="K382" s="49"/>
      <c r="L382" s="50"/>
      <c r="M382" s="72"/>
      <c r="N382" s="75"/>
      <c r="O382" s="75"/>
      <c r="P382" s="75"/>
      <c r="Q382" s="75"/>
      <c r="R382" s="75"/>
      <c r="S382" s="75"/>
      <c r="T382" s="75"/>
      <c r="U382" s="9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</row>
    <row r="383" spans="1:33" s="16" customFormat="1" ht="23.25" customHeight="1">
      <c r="A383" s="23" t="s">
        <v>690</v>
      </c>
      <c r="B383" s="22" t="s">
        <v>165</v>
      </c>
      <c r="C383" s="23" t="s">
        <v>176</v>
      </c>
      <c r="D383" s="23" t="s">
        <v>252</v>
      </c>
      <c r="E383" s="23" t="s">
        <v>740</v>
      </c>
      <c r="F383" s="23" t="s">
        <v>164</v>
      </c>
      <c r="G383" s="58">
        <v>38607.4</v>
      </c>
      <c r="H383" s="58">
        <v>38607.4</v>
      </c>
      <c r="I383" s="58">
        <v>38607.4</v>
      </c>
      <c r="J383" s="77">
        <f t="shared" si="73"/>
        <v>100</v>
      </c>
      <c r="K383" s="49"/>
      <c r="L383" s="50"/>
      <c r="M383" s="89">
        <f>10251.6+6196.5</f>
        <v>16448.1</v>
      </c>
      <c r="N383" s="75"/>
      <c r="O383" s="75"/>
      <c r="P383" s="75"/>
      <c r="Q383" s="75"/>
      <c r="R383" s="75"/>
      <c r="S383" s="75"/>
      <c r="T383" s="75"/>
      <c r="U383" s="92">
        <v>46373.5</v>
      </c>
      <c r="V383" s="75"/>
      <c r="W383" s="75"/>
      <c r="X383" s="75"/>
      <c r="Y383" s="75"/>
      <c r="Z383" s="75">
        <v>37792.4</v>
      </c>
      <c r="AA383" s="75"/>
      <c r="AB383" s="75">
        <v>38607.4</v>
      </c>
      <c r="AC383" s="75"/>
      <c r="AD383" s="75"/>
      <c r="AE383" s="75"/>
      <c r="AF383" s="75"/>
      <c r="AG383" s="75"/>
    </row>
    <row r="384" spans="1:33" s="16" customFormat="1" ht="107.25" customHeight="1">
      <c r="A384" s="23" t="s">
        <v>691</v>
      </c>
      <c r="B384" s="22" t="s">
        <v>516</v>
      </c>
      <c r="C384" s="23" t="s">
        <v>176</v>
      </c>
      <c r="D384" s="23" t="s">
        <v>252</v>
      </c>
      <c r="E384" s="23" t="s">
        <v>579</v>
      </c>
      <c r="F384" s="23"/>
      <c r="G384" s="58">
        <f aca="true" t="shared" si="75" ref="G384:I385">SUM(G385)</f>
        <v>36751</v>
      </c>
      <c r="H384" s="58">
        <f t="shared" si="75"/>
        <v>45262</v>
      </c>
      <c r="I384" s="58">
        <f t="shared" si="75"/>
        <v>45262</v>
      </c>
      <c r="J384" s="77">
        <f t="shared" si="73"/>
        <v>100</v>
      </c>
      <c r="K384" s="49"/>
      <c r="L384" s="50"/>
      <c r="M384" s="89"/>
      <c r="N384" s="75"/>
      <c r="O384" s="75"/>
      <c r="P384" s="75"/>
      <c r="Q384" s="75"/>
      <c r="R384" s="75"/>
      <c r="S384" s="75"/>
      <c r="T384" s="75"/>
      <c r="U384" s="92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</row>
    <row r="385" spans="1:33" s="16" customFormat="1" ht="33.75" customHeight="1">
      <c r="A385" s="23" t="s">
        <v>692</v>
      </c>
      <c r="B385" s="22" t="s">
        <v>270</v>
      </c>
      <c r="C385" s="23" t="s">
        <v>176</v>
      </c>
      <c r="D385" s="23" t="s">
        <v>252</v>
      </c>
      <c r="E385" s="23" t="s">
        <v>579</v>
      </c>
      <c r="F385" s="23" t="s">
        <v>163</v>
      </c>
      <c r="G385" s="58">
        <f t="shared" si="75"/>
        <v>36751</v>
      </c>
      <c r="H385" s="58">
        <f t="shared" si="75"/>
        <v>45262</v>
      </c>
      <c r="I385" s="58">
        <f t="shared" si="75"/>
        <v>45262</v>
      </c>
      <c r="J385" s="77">
        <f t="shared" si="73"/>
        <v>100</v>
      </c>
      <c r="K385" s="49"/>
      <c r="L385" s="50"/>
      <c r="M385" s="89"/>
      <c r="N385" s="75"/>
      <c r="O385" s="75"/>
      <c r="P385" s="75"/>
      <c r="Q385" s="75"/>
      <c r="R385" s="75"/>
      <c r="S385" s="75"/>
      <c r="T385" s="75"/>
      <c r="U385" s="92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</row>
    <row r="386" spans="1:33" s="16" customFormat="1" ht="26.25" customHeight="1">
      <c r="A386" s="23" t="s">
        <v>693</v>
      </c>
      <c r="B386" s="22" t="s">
        <v>165</v>
      </c>
      <c r="C386" s="23" t="s">
        <v>176</v>
      </c>
      <c r="D386" s="23" t="s">
        <v>252</v>
      </c>
      <c r="E386" s="23" t="s">
        <v>579</v>
      </c>
      <c r="F386" s="23" t="s">
        <v>164</v>
      </c>
      <c r="G386" s="58">
        <v>36751</v>
      </c>
      <c r="H386" s="58">
        <f>36751+29800-5263.6-5647.3-10378.1</f>
        <v>45262</v>
      </c>
      <c r="I386" s="58">
        <v>45262</v>
      </c>
      <c r="J386" s="77">
        <f t="shared" si="73"/>
        <v>100</v>
      </c>
      <c r="K386" s="49"/>
      <c r="L386" s="50"/>
      <c r="M386" s="89"/>
      <c r="N386" s="75"/>
      <c r="O386" s="75"/>
      <c r="P386" s="75"/>
      <c r="Q386" s="75"/>
      <c r="R386" s="75"/>
      <c r="S386" s="75"/>
      <c r="T386" s="75"/>
      <c r="U386" s="92"/>
      <c r="V386" s="75"/>
      <c r="W386" s="75"/>
      <c r="X386" s="75"/>
      <c r="Y386" s="75">
        <v>4184</v>
      </c>
      <c r="Z386" s="75">
        <v>49146.2</v>
      </c>
      <c r="AA386" s="75"/>
      <c r="AB386" s="75">
        <f>70840.7-34139.2+49.5</f>
        <v>36751</v>
      </c>
      <c r="AC386" s="75"/>
      <c r="AD386" s="75">
        <v>10378.1</v>
      </c>
      <c r="AE386" s="75">
        <f>29800-10378.1-5000-263.6-5647.3</f>
        <v>8511</v>
      </c>
      <c r="AF386" s="75"/>
      <c r="AG386" s="75"/>
    </row>
    <row r="387" spans="1:33" s="16" customFormat="1" ht="127.5" customHeight="1">
      <c r="A387" s="23" t="s">
        <v>694</v>
      </c>
      <c r="B387" s="22" t="s">
        <v>1471</v>
      </c>
      <c r="C387" s="23" t="s">
        <v>176</v>
      </c>
      <c r="D387" s="23" t="s">
        <v>252</v>
      </c>
      <c r="E387" s="23" t="s">
        <v>1472</v>
      </c>
      <c r="F387" s="23"/>
      <c r="G387" s="58">
        <f aca="true" t="shared" si="76" ref="G387:I388">SUM(G388)</f>
        <v>0</v>
      </c>
      <c r="H387" s="58">
        <f t="shared" si="76"/>
        <v>11932.5</v>
      </c>
      <c r="I387" s="58">
        <f t="shared" si="76"/>
        <v>11932.5</v>
      </c>
      <c r="J387" s="77">
        <f t="shared" si="73"/>
        <v>100</v>
      </c>
      <c r="K387" s="49"/>
      <c r="L387" s="50"/>
      <c r="M387" s="89"/>
      <c r="N387" s="75"/>
      <c r="O387" s="75"/>
      <c r="P387" s="75"/>
      <c r="Q387" s="75"/>
      <c r="R387" s="75"/>
      <c r="S387" s="75"/>
      <c r="T387" s="75"/>
      <c r="U387" s="92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</row>
    <row r="388" spans="1:33" s="16" customFormat="1" ht="26.25" customHeight="1">
      <c r="A388" s="23" t="s">
        <v>695</v>
      </c>
      <c r="B388" s="22" t="s">
        <v>270</v>
      </c>
      <c r="C388" s="23" t="s">
        <v>176</v>
      </c>
      <c r="D388" s="23" t="s">
        <v>252</v>
      </c>
      <c r="E388" s="23" t="s">
        <v>1472</v>
      </c>
      <c r="F388" s="23" t="s">
        <v>163</v>
      </c>
      <c r="G388" s="58">
        <f t="shared" si="76"/>
        <v>0</v>
      </c>
      <c r="H388" s="58">
        <f t="shared" si="76"/>
        <v>11932.5</v>
      </c>
      <c r="I388" s="58">
        <f t="shared" si="76"/>
        <v>11932.5</v>
      </c>
      <c r="J388" s="77">
        <f t="shared" si="73"/>
        <v>100</v>
      </c>
      <c r="K388" s="49"/>
      <c r="L388" s="50"/>
      <c r="M388" s="89"/>
      <c r="N388" s="75"/>
      <c r="O388" s="75"/>
      <c r="P388" s="75"/>
      <c r="Q388" s="75"/>
      <c r="R388" s="75"/>
      <c r="S388" s="75"/>
      <c r="T388" s="75"/>
      <c r="U388" s="92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</row>
    <row r="389" spans="1:33" s="16" customFormat="1" ht="26.25" customHeight="1">
      <c r="A389" s="23" t="s">
        <v>897</v>
      </c>
      <c r="B389" s="22" t="s">
        <v>165</v>
      </c>
      <c r="C389" s="23" t="s">
        <v>176</v>
      </c>
      <c r="D389" s="23" t="s">
        <v>252</v>
      </c>
      <c r="E389" s="23" t="s">
        <v>1472</v>
      </c>
      <c r="F389" s="23" t="s">
        <v>164</v>
      </c>
      <c r="G389" s="58">
        <v>0</v>
      </c>
      <c r="H389" s="58">
        <f>10378.1+1554.4</f>
        <v>11932.5</v>
      </c>
      <c r="I389" s="58">
        <v>11932.5</v>
      </c>
      <c r="J389" s="77">
        <f t="shared" si="73"/>
        <v>100</v>
      </c>
      <c r="K389" s="49"/>
      <c r="L389" s="50"/>
      <c r="M389" s="89"/>
      <c r="N389" s="75"/>
      <c r="O389" s="75"/>
      <c r="P389" s="75"/>
      <c r="Q389" s="75"/>
      <c r="R389" s="75"/>
      <c r="S389" s="75"/>
      <c r="T389" s="75"/>
      <c r="U389" s="92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122">
        <v>1554.4</v>
      </c>
    </row>
    <row r="390" spans="1:33" s="16" customFormat="1" ht="145.5" customHeight="1">
      <c r="A390" s="23" t="s">
        <v>898</v>
      </c>
      <c r="B390" s="39" t="s">
        <v>595</v>
      </c>
      <c r="C390" s="23" t="s">
        <v>176</v>
      </c>
      <c r="D390" s="23" t="s">
        <v>252</v>
      </c>
      <c r="E390" s="23" t="s">
        <v>594</v>
      </c>
      <c r="F390" s="23"/>
      <c r="G390" s="58">
        <f aca="true" t="shared" si="77" ref="G390:I391">G391</f>
        <v>84</v>
      </c>
      <c r="H390" s="58">
        <f t="shared" si="77"/>
        <v>84</v>
      </c>
      <c r="I390" s="58">
        <f t="shared" si="77"/>
        <v>0</v>
      </c>
      <c r="J390" s="77">
        <f t="shared" si="73"/>
        <v>0</v>
      </c>
      <c r="K390" s="49"/>
      <c r="L390" s="50">
        <v>1134.8</v>
      </c>
      <c r="M390" s="72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</row>
    <row r="391" spans="1:33" s="16" customFormat="1" ht="31.5" customHeight="1">
      <c r="A391" s="23" t="s">
        <v>899</v>
      </c>
      <c r="B391" s="22" t="s">
        <v>144</v>
      </c>
      <c r="C391" s="23" t="s">
        <v>176</v>
      </c>
      <c r="D391" s="23" t="s">
        <v>252</v>
      </c>
      <c r="E391" s="23" t="s">
        <v>594</v>
      </c>
      <c r="F391" s="23" t="s">
        <v>109</v>
      </c>
      <c r="G391" s="58">
        <f t="shared" si="77"/>
        <v>84</v>
      </c>
      <c r="H391" s="58">
        <f t="shared" si="77"/>
        <v>84</v>
      </c>
      <c r="I391" s="58">
        <f t="shared" si="77"/>
        <v>0</v>
      </c>
      <c r="J391" s="77">
        <f t="shared" si="73"/>
        <v>0</v>
      </c>
      <c r="K391" s="49"/>
      <c r="L391" s="50"/>
      <c r="M391" s="72"/>
      <c r="N391" s="75"/>
      <c r="O391" s="75"/>
      <c r="P391" s="75"/>
      <c r="Q391" s="75"/>
      <c r="R391" s="75"/>
      <c r="S391" s="75"/>
      <c r="T391" s="75"/>
      <c r="U391" s="75">
        <v>2158.8</v>
      </c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</row>
    <row r="392" spans="1:33" s="16" customFormat="1" ht="33.75" customHeight="1">
      <c r="A392" s="23" t="s">
        <v>900</v>
      </c>
      <c r="B392" s="22" t="s">
        <v>145</v>
      </c>
      <c r="C392" s="23" t="s">
        <v>176</v>
      </c>
      <c r="D392" s="23" t="s">
        <v>252</v>
      </c>
      <c r="E392" s="23" t="s">
        <v>594</v>
      </c>
      <c r="F392" s="23" t="s">
        <v>102</v>
      </c>
      <c r="G392" s="58">
        <v>84</v>
      </c>
      <c r="H392" s="58">
        <v>84</v>
      </c>
      <c r="I392" s="58">
        <v>0</v>
      </c>
      <c r="J392" s="77">
        <f t="shared" si="73"/>
        <v>0</v>
      </c>
      <c r="K392" s="49"/>
      <c r="L392" s="50"/>
      <c r="M392" s="72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>
        <v>83.7</v>
      </c>
      <c r="AA392" s="75"/>
      <c r="AB392" s="75">
        <v>84</v>
      </c>
      <c r="AC392" s="75"/>
      <c r="AD392" s="75"/>
      <c r="AE392" s="75"/>
      <c r="AF392" s="75"/>
      <c r="AG392" s="75"/>
    </row>
    <row r="393" spans="1:33" s="16" customFormat="1" ht="23.25" customHeight="1">
      <c r="A393" s="23" t="s">
        <v>901</v>
      </c>
      <c r="B393" s="22" t="s">
        <v>402</v>
      </c>
      <c r="C393" s="23" t="s">
        <v>176</v>
      </c>
      <c r="D393" s="23" t="s">
        <v>252</v>
      </c>
      <c r="E393" s="23" t="s">
        <v>372</v>
      </c>
      <c r="F393" s="23"/>
      <c r="G393" s="58">
        <f>SUM(G394)</f>
        <v>3005.2</v>
      </c>
      <c r="H393" s="58">
        <f>SUM(H394)</f>
        <v>3626.2</v>
      </c>
      <c r="I393" s="58">
        <f>SUM(I394)</f>
        <v>3601.8</v>
      </c>
      <c r="J393" s="77">
        <f t="shared" si="73"/>
        <v>99.32711929843914</v>
      </c>
      <c r="K393" s="49"/>
      <c r="L393" s="50"/>
      <c r="M393" s="72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</row>
    <row r="394" spans="1:33" s="16" customFormat="1" ht="58.5" customHeight="1">
      <c r="A394" s="23" t="s">
        <v>902</v>
      </c>
      <c r="B394" s="22" t="s">
        <v>742</v>
      </c>
      <c r="C394" s="23" t="s">
        <v>176</v>
      </c>
      <c r="D394" s="23" t="s">
        <v>252</v>
      </c>
      <c r="E394" s="23" t="s">
        <v>743</v>
      </c>
      <c r="F394" s="23"/>
      <c r="G394" s="58">
        <f>SUM(G395+G397+G399)</f>
        <v>3005.2</v>
      </c>
      <c r="H394" s="58">
        <f>SUM(H395+H397+H399)</f>
        <v>3626.2</v>
      </c>
      <c r="I394" s="58">
        <f>SUM(I395+I397+I399)</f>
        <v>3601.8</v>
      </c>
      <c r="J394" s="77">
        <f t="shared" si="73"/>
        <v>99.32711929843914</v>
      </c>
      <c r="K394" s="49"/>
      <c r="L394" s="50"/>
      <c r="M394" s="72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>
        <v>2481.9</v>
      </c>
      <c r="AA394" s="75"/>
      <c r="AB394" s="75">
        <v>3005.2</v>
      </c>
      <c r="AC394" s="75"/>
      <c r="AD394" s="75"/>
      <c r="AE394" s="75"/>
      <c r="AF394" s="75"/>
      <c r="AG394" s="75"/>
    </row>
    <row r="395" spans="1:33" s="16" customFormat="1" ht="57" customHeight="1">
      <c r="A395" s="23" t="s">
        <v>392</v>
      </c>
      <c r="B395" s="25" t="s">
        <v>181</v>
      </c>
      <c r="C395" s="23" t="s">
        <v>176</v>
      </c>
      <c r="D395" s="23" t="s">
        <v>252</v>
      </c>
      <c r="E395" s="23" t="s">
        <v>743</v>
      </c>
      <c r="F395" s="23" t="s">
        <v>179</v>
      </c>
      <c r="G395" s="58">
        <f>SUM(G396)</f>
        <v>2445.7</v>
      </c>
      <c r="H395" s="58">
        <f>SUM(H396)</f>
        <v>3066.7</v>
      </c>
      <c r="I395" s="58">
        <f>SUM(I396)</f>
        <v>3061.4</v>
      </c>
      <c r="J395" s="77">
        <f t="shared" si="73"/>
        <v>99.82717579156748</v>
      </c>
      <c r="K395" s="49"/>
      <c r="L395" s="50"/>
      <c r="M395" s="72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</row>
    <row r="396" spans="1:33" s="16" customFormat="1" ht="19.5" customHeight="1">
      <c r="A396" s="23" t="s">
        <v>1062</v>
      </c>
      <c r="B396" s="25" t="s">
        <v>182</v>
      </c>
      <c r="C396" s="23" t="s">
        <v>176</v>
      </c>
      <c r="D396" s="23" t="s">
        <v>252</v>
      </c>
      <c r="E396" s="23" t="s">
        <v>743</v>
      </c>
      <c r="F396" s="23" t="s">
        <v>211</v>
      </c>
      <c r="G396" s="58">
        <v>2445.7</v>
      </c>
      <c r="H396" s="58">
        <f>2445.7+621</f>
        <v>3066.7</v>
      </c>
      <c r="I396" s="58">
        <v>3061.4</v>
      </c>
      <c r="J396" s="77">
        <f t="shared" si="73"/>
        <v>99.82717579156748</v>
      </c>
      <c r="K396" s="49"/>
      <c r="L396" s="50"/>
      <c r="M396" s="72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>
        <v>621</v>
      </c>
      <c r="AF396" s="75"/>
      <c r="AG396" s="75"/>
    </row>
    <row r="397" spans="1:33" s="16" customFormat="1" ht="33" customHeight="1">
      <c r="A397" s="23" t="s">
        <v>1063</v>
      </c>
      <c r="B397" s="22" t="s">
        <v>144</v>
      </c>
      <c r="C397" s="23" t="s">
        <v>176</v>
      </c>
      <c r="D397" s="23" t="s">
        <v>252</v>
      </c>
      <c r="E397" s="23" t="s">
        <v>743</v>
      </c>
      <c r="F397" s="23" t="s">
        <v>109</v>
      </c>
      <c r="G397" s="58">
        <f>SUM(G398)</f>
        <v>559</v>
      </c>
      <c r="H397" s="58">
        <f>SUM(H398)</f>
        <v>559</v>
      </c>
      <c r="I397" s="58">
        <f>SUM(I398)</f>
        <v>540.2</v>
      </c>
      <c r="J397" s="77">
        <f t="shared" si="73"/>
        <v>96.63685152057246</v>
      </c>
      <c r="K397" s="49"/>
      <c r="L397" s="50"/>
      <c r="M397" s="72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</row>
    <row r="398" spans="1:33" s="16" customFormat="1" ht="29.25" customHeight="1">
      <c r="A398" s="23" t="s">
        <v>1064</v>
      </c>
      <c r="B398" s="22" t="s">
        <v>145</v>
      </c>
      <c r="C398" s="23" t="s">
        <v>176</v>
      </c>
      <c r="D398" s="23" t="s">
        <v>252</v>
      </c>
      <c r="E398" s="23" t="s">
        <v>743</v>
      </c>
      <c r="F398" s="23" t="s">
        <v>102</v>
      </c>
      <c r="G398" s="58">
        <v>559</v>
      </c>
      <c r="H398" s="58">
        <v>559</v>
      </c>
      <c r="I398" s="58">
        <v>540.2</v>
      </c>
      <c r="J398" s="77">
        <f t="shared" si="73"/>
        <v>96.63685152057246</v>
      </c>
      <c r="K398" s="49"/>
      <c r="L398" s="50"/>
      <c r="M398" s="72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43"/>
      <c r="AA398" s="75"/>
      <c r="AB398" s="75"/>
      <c r="AC398" s="75"/>
      <c r="AD398" s="75"/>
      <c r="AE398" s="75"/>
      <c r="AF398" s="75"/>
      <c r="AG398" s="75"/>
    </row>
    <row r="399" spans="1:33" s="16" customFormat="1" ht="19.5" customHeight="1">
      <c r="A399" s="23" t="s">
        <v>696</v>
      </c>
      <c r="B399" s="25" t="s">
        <v>198</v>
      </c>
      <c r="C399" s="23" t="s">
        <v>176</v>
      </c>
      <c r="D399" s="23" t="s">
        <v>252</v>
      </c>
      <c r="E399" s="23" t="s">
        <v>743</v>
      </c>
      <c r="F399" s="23" t="s">
        <v>201</v>
      </c>
      <c r="G399" s="58">
        <f>SUM(G400)</f>
        <v>0.5</v>
      </c>
      <c r="H399" s="58">
        <f>SUM(H400)</f>
        <v>0.5</v>
      </c>
      <c r="I399" s="58">
        <f>SUM(I400)</f>
        <v>0.2</v>
      </c>
      <c r="J399" s="77">
        <f t="shared" si="73"/>
        <v>40</v>
      </c>
      <c r="K399" s="49"/>
      <c r="L399" s="50"/>
      <c r="M399" s="72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</row>
    <row r="400" spans="1:33" s="16" customFormat="1" ht="22.5" customHeight="1">
      <c r="A400" s="23" t="s">
        <v>446</v>
      </c>
      <c r="B400" s="25" t="s">
        <v>199</v>
      </c>
      <c r="C400" s="23" t="s">
        <v>176</v>
      </c>
      <c r="D400" s="23" t="s">
        <v>252</v>
      </c>
      <c r="E400" s="23" t="s">
        <v>743</v>
      </c>
      <c r="F400" s="23" t="s">
        <v>202</v>
      </c>
      <c r="G400" s="58">
        <v>0.5</v>
      </c>
      <c r="H400" s="58">
        <v>0.5</v>
      </c>
      <c r="I400" s="58">
        <v>0.2</v>
      </c>
      <c r="J400" s="77">
        <f t="shared" si="73"/>
        <v>40</v>
      </c>
      <c r="K400" s="49"/>
      <c r="L400" s="50"/>
      <c r="M400" s="72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>
        <v>185</v>
      </c>
      <c r="Z400" s="75"/>
      <c r="AA400" s="75"/>
      <c r="AB400" s="75"/>
      <c r="AC400" s="75"/>
      <c r="AD400" s="75"/>
      <c r="AE400" s="75"/>
      <c r="AF400" s="75"/>
      <c r="AG400" s="75"/>
    </row>
    <row r="401" spans="1:33" s="16" customFormat="1" ht="22.5" customHeight="1">
      <c r="A401" s="23" t="s">
        <v>832</v>
      </c>
      <c r="B401" s="34" t="s">
        <v>656</v>
      </c>
      <c r="C401" s="31" t="s">
        <v>176</v>
      </c>
      <c r="D401" s="31" t="s">
        <v>657</v>
      </c>
      <c r="E401" s="31"/>
      <c r="F401" s="31"/>
      <c r="G401" s="79">
        <f>SUM(G402+G408)</f>
        <v>486.6</v>
      </c>
      <c r="H401" s="79">
        <f>SUM(H402+H408)</f>
        <v>5077.8</v>
      </c>
      <c r="I401" s="79">
        <f>SUM(I402+I408)</f>
        <v>513.6999999999999</v>
      </c>
      <c r="J401" s="77">
        <f t="shared" si="73"/>
        <v>10.116585923037533</v>
      </c>
      <c r="K401" s="49"/>
      <c r="L401" s="50"/>
      <c r="M401" s="72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</row>
    <row r="402" spans="1:33" s="16" customFormat="1" ht="32.25" customHeight="1">
      <c r="A402" s="23" t="s">
        <v>833</v>
      </c>
      <c r="B402" s="35" t="s">
        <v>658</v>
      </c>
      <c r="C402" s="36" t="s">
        <v>176</v>
      </c>
      <c r="D402" s="36" t="s">
        <v>633</v>
      </c>
      <c r="E402" s="36"/>
      <c r="F402" s="36"/>
      <c r="G402" s="80">
        <f aca="true" t="shared" si="78" ref="G402:I404">SUM(G403)</f>
        <v>406.5</v>
      </c>
      <c r="H402" s="80">
        <f t="shared" si="78"/>
        <v>406.5</v>
      </c>
      <c r="I402" s="80">
        <f t="shared" si="78"/>
        <v>392.4</v>
      </c>
      <c r="J402" s="77">
        <f t="shared" si="73"/>
        <v>96.53136531365313</v>
      </c>
      <c r="K402" s="49"/>
      <c r="L402" s="50"/>
      <c r="M402" s="72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</row>
    <row r="403" spans="1:33" s="16" customFormat="1" ht="45.75" customHeight="1">
      <c r="A403" s="23" t="s">
        <v>834</v>
      </c>
      <c r="B403" s="22" t="s">
        <v>290</v>
      </c>
      <c r="C403" s="23" t="s">
        <v>176</v>
      </c>
      <c r="D403" s="23" t="s">
        <v>633</v>
      </c>
      <c r="E403" s="23" t="s">
        <v>342</v>
      </c>
      <c r="F403" s="23"/>
      <c r="G403" s="58">
        <f t="shared" si="78"/>
        <v>406.5</v>
      </c>
      <c r="H403" s="58">
        <f t="shared" si="78"/>
        <v>406.5</v>
      </c>
      <c r="I403" s="58">
        <f t="shared" si="78"/>
        <v>392.4</v>
      </c>
      <c r="J403" s="77">
        <f t="shared" si="73"/>
        <v>96.53136531365313</v>
      </c>
      <c r="K403" s="49"/>
      <c r="L403" s="50"/>
      <c r="M403" s="72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</row>
    <row r="404" spans="1:33" s="16" customFormat="1" ht="45.75" customHeight="1">
      <c r="A404" s="23" t="s">
        <v>465</v>
      </c>
      <c r="B404" s="24" t="s">
        <v>948</v>
      </c>
      <c r="C404" s="23" t="s">
        <v>176</v>
      </c>
      <c r="D404" s="23" t="s">
        <v>633</v>
      </c>
      <c r="E404" s="23" t="s">
        <v>571</v>
      </c>
      <c r="F404" s="23"/>
      <c r="G404" s="58">
        <f t="shared" si="78"/>
        <v>406.5</v>
      </c>
      <c r="H404" s="58">
        <f t="shared" si="78"/>
        <v>406.5</v>
      </c>
      <c r="I404" s="58">
        <f t="shared" si="78"/>
        <v>392.4</v>
      </c>
      <c r="J404" s="77">
        <f t="shared" si="73"/>
        <v>96.53136531365313</v>
      </c>
      <c r="K404" s="49"/>
      <c r="L404" s="50"/>
      <c r="M404" s="72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>
        <v>14.5</v>
      </c>
      <c r="Z404" s="75"/>
      <c r="AA404" s="75"/>
      <c r="AB404" s="75"/>
      <c r="AC404" s="75"/>
      <c r="AD404" s="75"/>
      <c r="AE404" s="75"/>
      <c r="AF404" s="75"/>
      <c r="AG404" s="75"/>
    </row>
    <row r="405" spans="1:33" s="16" customFormat="1" ht="99.75" customHeight="1">
      <c r="A405" s="23" t="s">
        <v>466</v>
      </c>
      <c r="B405" s="22" t="s">
        <v>659</v>
      </c>
      <c r="C405" s="23" t="s">
        <v>176</v>
      </c>
      <c r="D405" s="23" t="s">
        <v>633</v>
      </c>
      <c r="E405" s="23" t="s">
        <v>572</v>
      </c>
      <c r="F405" s="23"/>
      <c r="G405" s="58">
        <f aca="true" t="shared" si="79" ref="G405:I406">G406</f>
        <v>406.5</v>
      </c>
      <c r="H405" s="58">
        <f t="shared" si="79"/>
        <v>406.5</v>
      </c>
      <c r="I405" s="58">
        <f t="shared" si="79"/>
        <v>392.4</v>
      </c>
      <c r="J405" s="77">
        <f t="shared" si="73"/>
        <v>96.53136531365313</v>
      </c>
      <c r="K405" s="49"/>
      <c r="L405" s="50"/>
      <c r="M405" s="72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>
        <v>440</v>
      </c>
      <c r="AB405" s="75"/>
      <c r="AC405" s="75"/>
      <c r="AD405" s="75"/>
      <c r="AE405" s="75"/>
      <c r="AF405" s="75"/>
      <c r="AG405" s="75"/>
    </row>
    <row r="406" spans="1:33" s="16" customFormat="1" ht="32.25" customHeight="1">
      <c r="A406" s="23" t="s">
        <v>903</v>
      </c>
      <c r="B406" s="22" t="s">
        <v>144</v>
      </c>
      <c r="C406" s="23" t="s">
        <v>176</v>
      </c>
      <c r="D406" s="23" t="s">
        <v>633</v>
      </c>
      <c r="E406" s="23" t="s">
        <v>572</v>
      </c>
      <c r="F406" s="23" t="s">
        <v>109</v>
      </c>
      <c r="G406" s="58">
        <f t="shared" si="79"/>
        <v>406.5</v>
      </c>
      <c r="H406" s="58">
        <f t="shared" si="79"/>
        <v>406.5</v>
      </c>
      <c r="I406" s="58">
        <f t="shared" si="79"/>
        <v>392.4</v>
      </c>
      <c r="J406" s="77">
        <f t="shared" si="73"/>
        <v>96.53136531365313</v>
      </c>
      <c r="K406" s="49"/>
      <c r="L406" s="50"/>
      <c r="M406" s="72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  <c r="AA406" s="75"/>
      <c r="AB406" s="75"/>
      <c r="AC406" s="75"/>
      <c r="AD406" s="75"/>
      <c r="AE406" s="75"/>
      <c r="AF406" s="75"/>
      <c r="AG406" s="75"/>
    </row>
    <row r="407" spans="1:33" s="16" customFormat="1" ht="28.5" customHeight="1">
      <c r="A407" s="23" t="s">
        <v>904</v>
      </c>
      <c r="B407" s="22" t="s">
        <v>145</v>
      </c>
      <c r="C407" s="23" t="s">
        <v>176</v>
      </c>
      <c r="D407" s="23" t="s">
        <v>633</v>
      </c>
      <c r="E407" s="23" t="s">
        <v>572</v>
      </c>
      <c r="F407" s="23" t="s">
        <v>102</v>
      </c>
      <c r="G407" s="58">
        <v>406.5</v>
      </c>
      <c r="H407" s="58">
        <v>406.5</v>
      </c>
      <c r="I407" s="58">
        <v>392.4</v>
      </c>
      <c r="J407" s="77">
        <f t="shared" si="73"/>
        <v>96.53136531365313</v>
      </c>
      <c r="K407" s="49"/>
      <c r="L407" s="50"/>
      <c r="M407" s="72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  <c r="AA407" s="75"/>
      <c r="AB407" s="75"/>
      <c r="AC407" s="75">
        <v>406.5</v>
      </c>
      <c r="AD407" s="75"/>
      <c r="AE407" s="75"/>
      <c r="AF407" s="75"/>
      <c r="AG407" s="75"/>
    </row>
    <row r="408" spans="1:33" s="16" customFormat="1" ht="28.5" customHeight="1">
      <c r="A408" s="23" t="s">
        <v>802</v>
      </c>
      <c r="B408" s="38" t="s">
        <v>956</v>
      </c>
      <c r="C408" s="36" t="s">
        <v>176</v>
      </c>
      <c r="D408" s="36" t="s">
        <v>821</v>
      </c>
      <c r="E408" s="36"/>
      <c r="F408" s="36"/>
      <c r="G408" s="80">
        <f>G417+G409</f>
        <v>80.1</v>
      </c>
      <c r="H408" s="80">
        <f>H417+H409</f>
        <v>4671.3</v>
      </c>
      <c r="I408" s="80">
        <f>I417+I409</f>
        <v>121.3</v>
      </c>
      <c r="J408" s="77">
        <f t="shared" si="73"/>
        <v>2.5967075546421765</v>
      </c>
      <c r="K408" s="49"/>
      <c r="L408" s="50"/>
      <c r="M408" s="72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  <c r="AA408" s="75"/>
      <c r="AB408" s="75"/>
      <c r="AC408" s="75"/>
      <c r="AD408" s="75"/>
      <c r="AE408" s="75"/>
      <c r="AF408" s="75"/>
      <c r="AG408" s="75"/>
    </row>
    <row r="409" spans="1:33" s="16" customFormat="1" ht="57" customHeight="1">
      <c r="A409" s="23" t="s">
        <v>835</v>
      </c>
      <c r="B409" s="24" t="s">
        <v>293</v>
      </c>
      <c r="C409" s="23" t="s">
        <v>176</v>
      </c>
      <c r="D409" s="23" t="s">
        <v>821</v>
      </c>
      <c r="E409" s="23" t="s">
        <v>363</v>
      </c>
      <c r="F409" s="23"/>
      <c r="G409" s="58">
        <f>G410</f>
        <v>0</v>
      </c>
      <c r="H409" s="58">
        <f>H410</f>
        <v>4588.7</v>
      </c>
      <c r="I409" s="58">
        <f>I410</f>
        <v>62.9</v>
      </c>
      <c r="J409" s="77">
        <f t="shared" si="73"/>
        <v>1.3707586026543466</v>
      </c>
      <c r="K409" s="49"/>
      <c r="L409" s="50"/>
      <c r="M409" s="72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  <c r="AA409" s="75"/>
      <c r="AB409" s="75"/>
      <c r="AC409" s="75"/>
      <c r="AD409" s="75"/>
      <c r="AE409" s="75"/>
      <c r="AF409" s="75"/>
      <c r="AG409" s="75"/>
    </row>
    <row r="410" spans="1:33" s="16" customFormat="1" ht="28.5" customHeight="1">
      <c r="A410" s="23" t="s">
        <v>836</v>
      </c>
      <c r="B410" s="22" t="s">
        <v>402</v>
      </c>
      <c r="C410" s="23" t="s">
        <v>176</v>
      </c>
      <c r="D410" s="23" t="s">
        <v>821</v>
      </c>
      <c r="E410" s="23" t="s">
        <v>372</v>
      </c>
      <c r="F410" s="23"/>
      <c r="G410" s="58">
        <f>SUM(G415+G411)</f>
        <v>0</v>
      </c>
      <c r="H410" s="58">
        <f>SUM(H415+H411)</f>
        <v>4588.7</v>
      </c>
      <c r="I410" s="58">
        <f>SUM(I415+I411)</f>
        <v>62.9</v>
      </c>
      <c r="J410" s="77">
        <f t="shared" si="73"/>
        <v>1.3707586026543466</v>
      </c>
      <c r="K410" s="49"/>
      <c r="L410" s="50"/>
      <c r="M410" s="72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  <c r="AB410" s="75"/>
      <c r="AC410" s="75"/>
      <c r="AD410" s="75"/>
      <c r="AE410" s="75"/>
      <c r="AF410" s="75"/>
      <c r="AG410" s="75"/>
    </row>
    <row r="411" spans="1:33" s="16" customFormat="1" ht="89.25" customHeight="1">
      <c r="A411" s="23" t="s">
        <v>837</v>
      </c>
      <c r="B411" s="25" t="s">
        <v>1476</v>
      </c>
      <c r="C411" s="23" t="s">
        <v>176</v>
      </c>
      <c r="D411" s="23" t="s">
        <v>821</v>
      </c>
      <c r="E411" s="23" t="s">
        <v>1319</v>
      </c>
      <c r="F411" s="23"/>
      <c r="G411" s="58">
        <f aca="true" t="shared" si="80" ref="G411:I412">G412</f>
        <v>0</v>
      </c>
      <c r="H411" s="58">
        <f t="shared" si="80"/>
        <v>4500</v>
      </c>
      <c r="I411" s="58">
        <f t="shared" si="80"/>
        <v>0</v>
      </c>
      <c r="J411" s="77">
        <f t="shared" si="73"/>
        <v>0</v>
      </c>
      <c r="K411" s="49"/>
      <c r="L411" s="50"/>
      <c r="M411" s="72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75"/>
      <c r="AC411" s="75"/>
      <c r="AD411" s="75"/>
      <c r="AE411" s="75"/>
      <c r="AF411" s="75"/>
      <c r="AG411" s="75"/>
    </row>
    <row r="412" spans="1:33" s="16" customFormat="1" ht="28.5" customHeight="1">
      <c r="A412" s="23" t="s">
        <v>838</v>
      </c>
      <c r="B412" s="22" t="s">
        <v>144</v>
      </c>
      <c r="C412" s="23" t="s">
        <v>176</v>
      </c>
      <c r="D412" s="23" t="s">
        <v>821</v>
      </c>
      <c r="E412" s="23" t="s">
        <v>1319</v>
      </c>
      <c r="F412" s="23" t="s">
        <v>109</v>
      </c>
      <c r="G412" s="58">
        <f t="shared" si="80"/>
        <v>0</v>
      </c>
      <c r="H412" s="58">
        <f t="shared" si="80"/>
        <v>4500</v>
      </c>
      <c r="I412" s="58">
        <f t="shared" si="80"/>
        <v>0</v>
      </c>
      <c r="J412" s="77">
        <f t="shared" si="73"/>
        <v>0</v>
      </c>
      <c r="K412" s="49"/>
      <c r="L412" s="50"/>
      <c r="M412" s="72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  <c r="AB412" s="75"/>
      <c r="AC412" s="75"/>
      <c r="AD412" s="75"/>
      <c r="AE412" s="75"/>
      <c r="AF412" s="75"/>
      <c r="AG412" s="75"/>
    </row>
    <row r="413" spans="1:33" s="16" customFormat="1" ht="28.5" customHeight="1">
      <c r="A413" s="23" t="s">
        <v>697</v>
      </c>
      <c r="B413" s="22" t="s">
        <v>145</v>
      </c>
      <c r="C413" s="23" t="s">
        <v>176</v>
      </c>
      <c r="D413" s="23" t="s">
        <v>821</v>
      </c>
      <c r="E413" s="23" t="s">
        <v>1319</v>
      </c>
      <c r="F413" s="23" t="s">
        <v>102</v>
      </c>
      <c r="G413" s="58">
        <v>0</v>
      </c>
      <c r="H413" s="58">
        <v>4500</v>
      </c>
      <c r="I413" s="58">
        <v>0</v>
      </c>
      <c r="J413" s="77">
        <f t="shared" si="73"/>
        <v>0</v>
      </c>
      <c r="K413" s="49"/>
      <c r="L413" s="50"/>
      <c r="M413" s="72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>
        <v>4500</v>
      </c>
    </row>
    <row r="414" spans="1:33" s="16" customFormat="1" ht="81.75" customHeight="1">
      <c r="A414" s="23" t="s">
        <v>698</v>
      </c>
      <c r="B414" s="25" t="s">
        <v>1318</v>
      </c>
      <c r="C414" s="23" t="s">
        <v>176</v>
      </c>
      <c r="D414" s="23" t="s">
        <v>821</v>
      </c>
      <c r="E414" s="23" t="s">
        <v>1319</v>
      </c>
      <c r="F414" s="23"/>
      <c r="G414" s="58">
        <f aca="true" t="shared" si="81" ref="G414:I415">G415</f>
        <v>0</v>
      </c>
      <c r="H414" s="58">
        <f t="shared" si="81"/>
        <v>88.7</v>
      </c>
      <c r="I414" s="58">
        <f t="shared" si="81"/>
        <v>62.9</v>
      </c>
      <c r="J414" s="77">
        <f t="shared" si="73"/>
        <v>70.91319052987598</v>
      </c>
      <c r="K414" s="49"/>
      <c r="L414" s="50"/>
      <c r="M414" s="72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  <c r="AB414" s="75"/>
      <c r="AC414" s="75"/>
      <c r="AD414" s="75"/>
      <c r="AE414" s="75"/>
      <c r="AF414" s="75"/>
      <c r="AG414" s="75"/>
    </row>
    <row r="415" spans="1:33" s="16" customFormat="1" ht="28.5" customHeight="1">
      <c r="A415" s="23" t="s">
        <v>1065</v>
      </c>
      <c r="B415" s="22" t="s">
        <v>144</v>
      </c>
      <c r="C415" s="23" t="s">
        <v>176</v>
      </c>
      <c r="D415" s="23" t="s">
        <v>821</v>
      </c>
      <c r="E415" s="23" t="s">
        <v>1319</v>
      </c>
      <c r="F415" s="23" t="s">
        <v>109</v>
      </c>
      <c r="G415" s="58">
        <f t="shared" si="81"/>
        <v>0</v>
      </c>
      <c r="H415" s="58">
        <f t="shared" si="81"/>
        <v>88.7</v>
      </c>
      <c r="I415" s="58">
        <f t="shared" si="81"/>
        <v>62.9</v>
      </c>
      <c r="J415" s="77">
        <f t="shared" si="73"/>
        <v>70.91319052987598</v>
      </c>
      <c r="K415" s="49"/>
      <c r="L415" s="50"/>
      <c r="M415" s="72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</row>
    <row r="416" spans="1:33" s="16" customFormat="1" ht="28.5" customHeight="1">
      <c r="A416" s="23" t="s">
        <v>1066</v>
      </c>
      <c r="B416" s="22" t="s">
        <v>145</v>
      </c>
      <c r="C416" s="23" t="s">
        <v>176</v>
      </c>
      <c r="D416" s="23" t="s">
        <v>821</v>
      </c>
      <c r="E416" s="23" t="s">
        <v>1319</v>
      </c>
      <c r="F416" s="23" t="s">
        <v>102</v>
      </c>
      <c r="G416" s="58">
        <v>0</v>
      </c>
      <c r="H416" s="58">
        <v>88.7</v>
      </c>
      <c r="I416" s="58">
        <v>62.9</v>
      </c>
      <c r="J416" s="77">
        <f t="shared" si="73"/>
        <v>70.91319052987598</v>
      </c>
      <c r="K416" s="49"/>
      <c r="L416" s="50"/>
      <c r="M416" s="72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  <c r="AB416" s="75"/>
      <c r="AC416" s="75"/>
      <c r="AD416" s="75"/>
      <c r="AE416" s="75">
        <v>88.7</v>
      </c>
      <c r="AF416" s="75"/>
      <c r="AG416" s="75"/>
    </row>
    <row r="417" spans="1:33" s="16" customFormat="1" ht="51.75" customHeight="1">
      <c r="A417" s="23" t="s">
        <v>1067</v>
      </c>
      <c r="B417" s="22" t="s">
        <v>290</v>
      </c>
      <c r="C417" s="23" t="s">
        <v>176</v>
      </c>
      <c r="D417" s="23" t="s">
        <v>821</v>
      </c>
      <c r="E417" s="23" t="s">
        <v>342</v>
      </c>
      <c r="F417" s="23"/>
      <c r="G417" s="58">
        <f aca="true" t="shared" si="82" ref="G417:I418">SUM(G418)</f>
        <v>80.1</v>
      </c>
      <c r="H417" s="58">
        <f t="shared" si="82"/>
        <v>82.6</v>
      </c>
      <c r="I417" s="58">
        <f t="shared" si="82"/>
        <v>58.4</v>
      </c>
      <c r="J417" s="77">
        <f t="shared" si="73"/>
        <v>70.70217917675545</v>
      </c>
      <c r="K417" s="49"/>
      <c r="L417" s="50"/>
      <c r="M417" s="72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</row>
    <row r="418" spans="1:33" s="16" customFormat="1" ht="45.75" customHeight="1">
      <c r="A418" s="23" t="s">
        <v>281</v>
      </c>
      <c r="B418" s="24" t="s">
        <v>948</v>
      </c>
      <c r="C418" s="23" t="s">
        <v>176</v>
      </c>
      <c r="D418" s="23" t="s">
        <v>821</v>
      </c>
      <c r="E418" s="23" t="s">
        <v>571</v>
      </c>
      <c r="F418" s="23"/>
      <c r="G418" s="58">
        <f t="shared" si="82"/>
        <v>80.1</v>
      </c>
      <c r="H418" s="58">
        <f t="shared" si="82"/>
        <v>82.6</v>
      </c>
      <c r="I418" s="58">
        <f t="shared" si="82"/>
        <v>58.4</v>
      </c>
      <c r="J418" s="77">
        <f t="shared" si="73"/>
        <v>70.70217917675545</v>
      </c>
      <c r="K418" s="49"/>
      <c r="L418" s="50"/>
      <c r="M418" s="72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  <c r="AF418" s="75"/>
      <c r="AG418" s="75"/>
    </row>
    <row r="419" spans="1:33" s="16" customFormat="1" ht="99" customHeight="1">
      <c r="A419" s="23" t="s">
        <v>905</v>
      </c>
      <c r="B419" s="22" t="s">
        <v>659</v>
      </c>
      <c r="C419" s="23" t="s">
        <v>176</v>
      </c>
      <c r="D419" s="23" t="s">
        <v>821</v>
      </c>
      <c r="E419" s="23" t="s">
        <v>572</v>
      </c>
      <c r="F419" s="23"/>
      <c r="G419" s="58">
        <f aca="true" t="shared" si="83" ref="G419:I420">G420</f>
        <v>80.1</v>
      </c>
      <c r="H419" s="58">
        <f t="shared" si="83"/>
        <v>82.6</v>
      </c>
      <c r="I419" s="58">
        <f t="shared" si="83"/>
        <v>58.4</v>
      </c>
      <c r="J419" s="77">
        <f t="shared" si="73"/>
        <v>70.70217917675545</v>
      </c>
      <c r="K419" s="49"/>
      <c r="L419" s="50"/>
      <c r="M419" s="72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  <c r="AF419" s="75"/>
      <c r="AG419" s="75"/>
    </row>
    <row r="420" spans="1:33" s="16" customFormat="1" ht="40.5" customHeight="1">
      <c r="A420" s="23" t="s">
        <v>906</v>
      </c>
      <c r="B420" s="22" t="s">
        <v>144</v>
      </c>
      <c r="C420" s="23" t="s">
        <v>176</v>
      </c>
      <c r="D420" s="23" t="s">
        <v>821</v>
      </c>
      <c r="E420" s="23" t="s">
        <v>572</v>
      </c>
      <c r="F420" s="23" t="s">
        <v>179</v>
      </c>
      <c r="G420" s="58">
        <f t="shared" si="83"/>
        <v>80.1</v>
      </c>
      <c r="H420" s="58">
        <f t="shared" si="83"/>
        <v>82.6</v>
      </c>
      <c r="I420" s="58">
        <f t="shared" si="83"/>
        <v>58.4</v>
      </c>
      <c r="J420" s="77">
        <f t="shared" si="73"/>
        <v>70.70217917675545</v>
      </c>
      <c r="K420" s="49"/>
      <c r="L420" s="50"/>
      <c r="M420" s="72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  <c r="AF420" s="75"/>
      <c r="AG420" s="75"/>
    </row>
    <row r="421" spans="1:33" s="16" customFormat="1" ht="42" customHeight="1">
      <c r="A421" s="23" t="s">
        <v>1068</v>
      </c>
      <c r="B421" s="22" t="s">
        <v>145</v>
      </c>
      <c r="C421" s="23" t="s">
        <v>176</v>
      </c>
      <c r="D421" s="23" t="s">
        <v>821</v>
      </c>
      <c r="E421" s="23" t="s">
        <v>572</v>
      </c>
      <c r="F421" s="23" t="s">
        <v>180</v>
      </c>
      <c r="G421" s="58">
        <v>80.1</v>
      </c>
      <c r="H421" s="58">
        <f>80.1+2.5</f>
        <v>82.6</v>
      </c>
      <c r="I421" s="58">
        <v>58.4</v>
      </c>
      <c r="J421" s="77">
        <f t="shared" si="73"/>
        <v>70.70217917675545</v>
      </c>
      <c r="K421" s="49"/>
      <c r="L421" s="50"/>
      <c r="M421" s="72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  <c r="AB421" s="75"/>
      <c r="AC421" s="75">
        <v>80.1</v>
      </c>
      <c r="AD421" s="75"/>
      <c r="AE421" s="75"/>
      <c r="AF421" s="75"/>
      <c r="AG421" s="75"/>
    </row>
    <row r="422" spans="1:33" s="16" customFormat="1" ht="24.75" customHeight="1">
      <c r="A422" s="23" t="s">
        <v>1069</v>
      </c>
      <c r="B422" s="34" t="s">
        <v>266</v>
      </c>
      <c r="C422" s="31" t="s">
        <v>176</v>
      </c>
      <c r="D422" s="31" t="s">
        <v>271</v>
      </c>
      <c r="E422" s="100"/>
      <c r="F422" s="31"/>
      <c r="G422" s="79">
        <f>G423+G432</f>
        <v>20510</v>
      </c>
      <c r="H422" s="79">
        <f>H423+H432</f>
        <v>21079.9</v>
      </c>
      <c r="I422" s="79">
        <f>I423+I432</f>
        <v>21079.9</v>
      </c>
      <c r="J422" s="77">
        <f t="shared" si="73"/>
        <v>100</v>
      </c>
      <c r="K422" s="49"/>
      <c r="L422" s="50"/>
      <c r="M422" s="72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  <c r="AF422" s="75"/>
      <c r="AG422" s="75"/>
    </row>
    <row r="423" spans="1:33" s="17" customFormat="1" ht="27.75" customHeight="1">
      <c r="A423" s="23" t="s">
        <v>1070</v>
      </c>
      <c r="B423" s="35" t="s">
        <v>457</v>
      </c>
      <c r="C423" s="36" t="s">
        <v>176</v>
      </c>
      <c r="D423" s="36" t="s">
        <v>456</v>
      </c>
      <c r="E423" s="101"/>
      <c r="F423" s="36"/>
      <c r="G423" s="80">
        <f aca="true" t="shared" si="84" ref="G423:I424">G424</f>
        <v>11664.099999999999</v>
      </c>
      <c r="H423" s="80">
        <f t="shared" si="84"/>
        <v>12233.999999999998</v>
      </c>
      <c r="I423" s="80">
        <f t="shared" si="84"/>
        <v>12234</v>
      </c>
      <c r="J423" s="77">
        <f t="shared" si="73"/>
        <v>100.00000000000003</v>
      </c>
      <c r="K423" s="51"/>
      <c r="L423" s="55">
        <v>8063</v>
      </c>
      <c r="M423" s="74"/>
      <c r="N423" s="65"/>
      <c r="O423" s="65"/>
      <c r="P423" s="65"/>
      <c r="Q423" s="65"/>
      <c r="R423" s="65"/>
      <c r="S423" s="65"/>
      <c r="T423" s="65"/>
      <c r="U423" s="96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</row>
    <row r="424" spans="1:33" s="15" customFormat="1" ht="33" customHeight="1">
      <c r="A424" s="23" t="s">
        <v>907</v>
      </c>
      <c r="B424" s="24" t="s">
        <v>291</v>
      </c>
      <c r="C424" s="23" t="s">
        <v>176</v>
      </c>
      <c r="D424" s="23" t="s">
        <v>456</v>
      </c>
      <c r="E424" s="23" t="s">
        <v>326</v>
      </c>
      <c r="F424" s="23"/>
      <c r="G424" s="58">
        <f t="shared" si="84"/>
        <v>11664.099999999999</v>
      </c>
      <c r="H424" s="58">
        <f t="shared" si="84"/>
        <v>12233.999999999998</v>
      </c>
      <c r="I424" s="58">
        <f t="shared" si="84"/>
        <v>12234</v>
      </c>
      <c r="J424" s="77">
        <f t="shared" si="73"/>
        <v>100.00000000000003</v>
      </c>
      <c r="K424" s="47"/>
      <c r="L424" s="48"/>
      <c r="M424" s="86"/>
      <c r="N424" s="83"/>
      <c r="O424" s="83"/>
      <c r="P424" s="83"/>
      <c r="Q424" s="83"/>
      <c r="R424" s="83"/>
      <c r="S424" s="83"/>
      <c r="T424" s="83"/>
      <c r="U424" s="97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</row>
    <row r="425" spans="1:33" s="16" customFormat="1" ht="35.25" customHeight="1">
      <c r="A425" s="23" t="s">
        <v>908</v>
      </c>
      <c r="B425" s="22" t="s">
        <v>204</v>
      </c>
      <c r="C425" s="23" t="s">
        <v>176</v>
      </c>
      <c r="D425" s="23" t="s">
        <v>456</v>
      </c>
      <c r="E425" s="23" t="s">
        <v>325</v>
      </c>
      <c r="F425" s="23"/>
      <c r="G425" s="58">
        <f>G426+G429</f>
        <v>11664.099999999999</v>
      </c>
      <c r="H425" s="58">
        <f>H426+H429</f>
        <v>12233.999999999998</v>
      </c>
      <c r="I425" s="58">
        <f>I426+I429</f>
        <v>12234</v>
      </c>
      <c r="J425" s="77">
        <f t="shared" si="73"/>
        <v>100.00000000000003</v>
      </c>
      <c r="K425" s="49"/>
      <c r="L425" s="50"/>
      <c r="M425" s="72"/>
      <c r="N425" s="90">
        <v>100</v>
      </c>
      <c r="O425" s="75"/>
      <c r="P425" s="75"/>
      <c r="Q425" s="75"/>
      <c r="R425" s="75"/>
      <c r="S425" s="75"/>
      <c r="T425" s="75"/>
      <c r="U425" s="92">
        <v>8431.5</v>
      </c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</row>
    <row r="426" spans="1:33" s="16" customFormat="1" ht="70.5" customHeight="1">
      <c r="A426" s="23" t="s">
        <v>909</v>
      </c>
      <c r="B426" s="22" t="s">
        <v>758</v>
      </c>
      <c r="C426" s="23" t="s">
        <v>176</v>
      </c>
      <c r="D426" s="23" t="s">
        <v>456</v>
      </c>
      <c r="E426" s="23" t="s">
        <v>759</v>
      </c>
      <c r="F426" s="23"/>
      <c r="G426" s="58">
        <f aca="true" t="shared" si="85" ref="G426:I427">G427</f>
        <v>11282.3</v>
      </c>
      <c r="H426" s="58">
        <f t="shared" si="85"/>
        <v>11852.199999999999</v>
      </c>
      <c r="I426" s="58">
        <f t="shared" si="85"/>
        <v>11852.2</v>
      </c>
      <c r="J426" s="77">
        <f t="shared" si="73"/>
        <v>100.00000000000003</v>
      </c>
      <c r="K426" s="49"/>
      <c r="L426" s="50">
        <v>125.5</v>
      </c>
      <c r="M426" s="72"/>
      <c r="N426" s="75"/>
      <c r="O426" s="75"/>
      <c r="P426" s="75"/>
      <c r="Q426" s="75"/>
      <c r="R426" s="75"/>
      <c r="S426" s="75"/>
      <c r="T426" s="75"/>
      <c r="U426" s="95"/>
      <c r="V426" s="75"/>
      <c r="W426" s="75"/>
      <c r="X426" s="75"/>
      <c r="Y426" s="75"/>
      <c r="Z426" s="75"/>
      <c r="AA426" s="75"/>
      <c r="AB426" s="75">
        <v>11282.3</v>
      </c>
      <c r="AC426" s="75"/>
      <c r="AD426" s="75"/>
      <c r="AE426" s="75"/>
      <c r="AF426" s="75"/>
      <c r="AG426" s="75"/>
    </row>
    <row r="427" spans="1:33" s="16" customFormat="1" ht="33" customHeight="1">
      <c r="A427" s="23" t="s">
        <v>616</v>
      </c>
      <c r="B427" s="22" t="s">
        <v>270</v>
      </c>
      <c r="C427" s="23" t="s">
        <v>176</v>
      </c>
      <c r="D427" s="23" t="s">
        <v>456</v>
      </c>
      <c r="E427" s="23" t="s">
        <v>759</v>
      </c>
      <c r="F427" s="23" t="s">
        <v>163</v>
      </c>
      <c r="G427" s="58">
        <f t="shared" si="85"/>
        <v>11282.3</v>
      </c>
      <c r="H427" s="58">
        <f t="shared" si="85"/>
        <v>11852.199999999999</v>
      </c>
      <c r="I427" s="58">
        <f t="shared" si="85"/>
        <v>11852.2</v>
      </c>
      <c r="J427" s="77">
        <f t="shared" si="73"/>
        <v>100.00000000000003</v>
      </c>
      <c r="K427" s="49"/>
      <c r="L427" s="50"/>
      <c r="M427" s="72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95"/>
      <c r="AA427" s="75"/>
      <c r="AB427" s="75"/>
      <c r="AC427" s="75"/>
      <c r="AD427" s="75"/>
      <c r="AE427" s="75"/>
      <c r="AF427" s="75"/>
      <c r="AG427" s="75"/>
    </row>
    <row r="428" spans="1:33" s="16" customFormat="1" ht="24" customHeight="1">
      <c r="A428" s="23" t="s">
        <v>617</v>
      </c>
      <c r="B428" s="22" t="s">
        <v>165</v>
      </c>
      <c r="C428" s="23" t="s">
        <v>176</v>
      </c>
      <c r="D428" s="23" t="s">
        <v>456</v>
      </c>
      <c r="E428" s="23" t="s">
        <v>759</v>
      </c>
      <c r="F428" s="23" t="s">
        <v>164</v>
      </c>
      <c r="G428" s="58">
        <v>11282.3</v>
      </c>
      <c r="H428" s="58">
        <f>11282.3+569.9</f>
        <v>11852.199999999999</v>
      </c>
      <c r="I428" s="58">
        <v>11852.2</v>
      </c>
      <c r="J428" s="77">
        <f t="shared" si="73"/>
        <v>100.00000000000003</v>
      </c>
      <c r="K428" s="55"/>
      <c r="L428" s="50"/>
      <c r="M428" s="72">
        <v>40.9</v>
      </c>
      <c r="N428" s="75"/>
      <c r="O428" s="75"/>
      <c r="P428" s="75"/>
      <c r="Q428" s="75"/>
      <c r="R428" s="75"/>
      <c r="S428" s="75"/>
      <c r="T428" s="75"/>
      <c r="U428" s="75">
        <v>204.4</v>
      </c>
      <c r="V428" s="75"/>
      <c r="W428" s="75"/>
      <c r="X428" s="75"/>
      <c r="Y428" s="75"/>
      <c r="Z428" s="92">
        <v>9152.3</v>
      </c>
      <c r="AA428" s="75"/>
      <c r="AB428" s="75"/>
      <c r="AC428" s="75"/>
      <c r="AD428" s="75"/>
      <c r="AE428" s="75"/>
      <c r="AF428" s="75"/>
      <c r="AG428" s="75"/>
    </row>
    <row r="429" spans="1:33" s="16" customFormat="1" ht="97.5" customHeight="1">
      <c r="A429" s="23" t="s">
        <v>618</v>
      </c>
      <c r="B429" s="22" t="s">
        <v>757</v>
      </c>
      <c r="C429" s="23" t="s">
        <v>176</v>
      </c>
      <c r="D429" s="23" t="s">
        <v>456</v>
      </c>
      <c r="E429" s="23" t="s">
        <v>580</v>
      </c>
      <c r="F429" s="23"/>
      <c r="G429" s="58">
        <f aca="true" t="shared" si="86" ref="G429:I430">G430</f>
        <v>381.8</v>
      </c>
      <c r="H429" s="58">
        <f t="shared" si="86"/>
        <v>381.8</v>
      </c>
      <c r="I429" s="58">
        <f t="shared" si="86"/>
        <v>381.8</v>
      </c>
      <c r="J429" s="77">
        <f t="shared" si="73"/>
        <v>100</v>
      </c>
      <c r="K429" s="55"/>
      <c r="L429" s="50"/>
      <c r="M429" s="72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95"/>
      <c r="AA429" s="75"/>
      <c r="AB429" s="75">
        <v>381.8</v>
      </c>
      <c r="AC429" s="75"/>
      <c r="AD429" s="75"/>
      <c r="AE429" s="75"/>
      <c r="AF429" s="75"/>
      <c r="AG429" s="75"/>
    </row>
    <row r="430" spans="1:33" s="16" customFormat="1" ht="34.5" customHeight="1">
      <c r="A430" s="23" t="s">
        <v>619</v>
      </c>
      <c r="B430" s="22" t="s">
        <v>270</v>
      </c>
      <c r="C430" s="23" t="s">
        <v>176</v>
      </c>
      <c r="D430" s="23" t="s">
        <v>456</v>
      </c>
      <c r="E430" s="23" t="s">
        <v>580</v>
      </c>
      <c r="F430" s="23" t="s">
        <v>163</v>
      </c>
      <c r="G430" s="58">
        <f t="shared" si="86"/>
        <v>381.8</v>
      </c>
      <c r="H430" s="58">
        <f t="shared" si="86"/>
        <v>381.8</v>
      </c>
      <c r="I430" s="58">
        <f t="shared" si="86"/>
        <v>381.8</v>
      </c>
      <c r="J430" s="77">
        <f t="shared" si="73"/>
        <v>100</v>
      </c>
      <c r="K430" s="55"/>
      <c r="L430" s="50"/>
      <c r="M430" s="72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</row>
    <row r="431" spans="1:33" s="16" customFormat="1" ht="27.75" customHeight="1">
      <c r="A431" s="23" t="s">
        <v>839</v>
      </c>
      <c r="B431" s="22" t="s">
        <v>165</v>
      </c>
      <c r="C431" s="23" t="s">
        <v>176</v>
      </c>
      <c r="D431" s="23" t="s">
        <v>456</v>
      </c>
      <c r="E431" s="23" t="s">
        <v>580</v>
      </c>
      <c r="F431" s="23" t="s">
        <v>164</v>
      </c>
      <c r="G431" s="58">
        <v>381.8</v>
      </c>
      <c r="H431" s="58">
        <v>381.8</v>
      </c>
      <c r="I431" s="58">
        <v>381.8</v>
      </c>
      <c r="J431" s="77">
        <f t="shared" si="73"/>
        <v>100</v>
      </c>
      <c r="K431" s="55"/>
      <c r="L431" s="50"/>
      <c r="M431" s="72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>
        <v>248.2</v>
      </c>
      <c r="Z431" s="75">
        <v>381.8</v>
      </c>
      <c r="AA431" s="75"/>
      <c r="AB431" s="75"/>
      <c r="AC431" s="75"/>
      <c r="AD431" s="75"/>
      <c r="AE431" s="75"/>
      <c r="AF431" s="75"/>
      <c r="AG431" s="75"/>
    </row>
    <row r="432" spans="1:33" s="16" customFormat="1" ht="24.75" customHeight="1">
      <c r="A432" s="23" t="s">
        <v>699</v>
      </c>
      <c r="B432" s="35" t="s">
        <v>77</v>
      </c>
      <c r="C432" s="36" t="s">
        <v>176</v>
      </c>
      <c r="D432" s="36" t="s">
        <v>78</v>
      </c>
      <c r="E432" s="101"/>
      <c r="F432" s="36"/>
      <c r="G432" s="80">
        <f>G433</f>
        <v>8845.900000000001</v>
      </c>
      <c r="H432" s="80">
        <f>H433</f>
        <v>8845.900000000001</v>
      </c>
      <c r="I432" s="80">
        <f>I433</f>
        <v>8845.900000000001</v>
      </c>
      <c r="J432" s="77">
        <f t="shared" si="73"/>
        <v>100</v>
      </c>
      <c r="K432" s="49"/>
      <c r="L432" s="50"/>
      <c r="M432" s="72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</row>
    <row r="433" spans="1:33" s="16" customFormat="1" ht="25.5">
      <c r="A433" s="23" t="s">
        <v>700</v>
      </c>
      <c r="B433" s="22" t="s">
        <v>412</v>
      </c>
      <c r="C433" s="23" t="s">
        <v>176</v>
      </c>
      <c r="D433" s="23" t="s">
        <v>78</v>
      </c>
      <c r="E433" s="23" t="s">
        <v>350</v>
      </c>
      <c r="F433" s="23"/>
      <c r="G433" s="58">
        <f>G434+G453</f>
        <v>8845.900000000001</v>
      </c>
      <c r="H433" s="58">
        <f>H434+H453</f>
        <v>8845.900000000001</v>
      </c>
      <c r="I433" s="58">
        <f>I434+I453</f>
        <v>8845.900000000001</v>
      </c>
      <c r="J433" s="77">
        <f t="shared" si="73"/>
        <v>100</v>
      </c>
      <c r="K433" s="49"/>
      <c r="L433" s="50"/>
      <c r="M433" s="72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</row>
    <row r="434" spans="1:33" s="16" customFormat="1" ht="33.75" customHeight="1">
      <c r="A434" s="23" t="s">
        <v>69</v>
      </c>
      <c r="B434" s="22" t="s">
        <v>93</v>
      </c>
      <c r="C434" s="23" t="s">
        <v>176</v>
      </c>
      <c r="D434" s="23" t="s">
        <v>78</v>
      </c>
      <c r="E434" s="23" t="s">
        <v>351</v>
      </c>
      <c r="F434" s="23"/>
      <c r="G434" s="58">
        <f>G435+G438+G447+G450+G441+G444</f>
        <v>8832.900000000001</v>
      </c>
      <c r="H434" s="58">
        <f>H435+H438+H447+H450+H441+H444</f>
        <v>8832.900000000001</v>
      </c>
      <c r="I434" s="58">
        <f>I435+I438+I447+I450+I441+I444</f>
        <v>8832.900000000001</v>
      </c>
      <c r="J434" s="77">
        <f t="shared" si="73"/>
        <v>100</v>
      </c>
      <c r="K434" s="49"/>
      <c r="L434" s="50"/>
      <c r="M434" s="72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95"/>
      <c r="AA434" s="75"/>
      <c r="AB434" s="75"/>
      <c r="AC434" s="75"/>
      <c r="AD434" s="75"/>
      <c r="AE434" s="75"/>
      <c r="AF434" s="75"/>
      <c r="AG434" s="75"/>
    </row>
    <row r="435" spans="1:33" s="16" customFormat="1" ht="57.75" customHeight="1">
      <c r="A435" s="23" t="s">
        <v>1071</v>
      </c>
      <c r="B435" s="22" t="s">
        <v>762</v>
      </c>
      <c r="C435" s="23" t="s">
        <v>176</v>
      </c>
      <c r="D435" s="23" t="s">
        <v>78</v>
      </c>
      <c r="E435" s="23" t="s">
        <v>763</v>
      </c>
      <c r="F435" s="23"/>
      <c r="G435" s="58">
        <f aca="true" t="shared" si="87" ref="G435:I436">G436</f>
        <v>7726.5</v>
      </c>
      <c r="H435" s="58">
        <f t="shared" si="87"/>
        <v>7726.5</v>
      </c>
      <c r="I435" s="58">
        <f t="shared" si="87"/>
        <v>7726.5</v>
      </c>
      <c r="J435" s="77">
        <f t="shared" si="73"/>
        <v>100</v>
      </c>
      <c r="K435" s="49"/>
      <c r="L435" s="50"/>
      <c r="M435" s="72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92">
        <v>6583</v>
      </c>
      <c r="AA435" s="75"/>
      <c r="AB435" s="75"/>
      <c r="AC435" s="75"/>
      <c r="AD435" s="75"/>
      <c r="AE435" s="75"/>
      <c r="AF435" s="75"/>
      <c r="AG435" s="75"/>
    </row>
    <row r="436" spans="1:33" s="16" customFormat="1" ht="30.75" customHeight="1">
      <c r="A436" s="23" t="s">
        <v>1072</v>
      </c>
      <c r="B436" s="22" t="s">
        <v>270</v>
      </c>
      <c r="C436" s="23" t="s">
        <v>176</v>
      </c>
      <c r="D436" s="23" t="s">
        <v>78</v>
      </c>
      <c r="E436" s="23" t="s">
        <v>763</v>
      </c>
      <c r="F436" s="23" t="s">
        <v>163</v>
      </c>
      <c r="G436" s="58">
        <f t="shared" si="87"/>
        <v>7726.5</v>
      </c>
      <c r="H436" s="58">
        <f t="shared" si="87"/>
        <v>7726.5</v>
      </c>
      <c r="I436" s="58">
        <f t="shared" si="87"/>
        <v>7726.5</v>
      </c>
      <c r="J436" s="77">
        <f t="shared" si="73"/>
        <v>100</v>
      </c>
      <c r="K436" s="49"/>
      <c r="L436" s="50"/>
      <c r="M436" s="72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95"/>
      <c r="AA436" s="75"/>
      <c r="AB436" s="75"/>
      <c r="AC436" s="75"/>
      <c r="AD436" s="75"/>
      <c r="AE436" s="75"/>
      <c r="AF436" s="75"/>
      <c r="AG436" s="75"/>
    </row>
    <row r="437" spans="1:33" s="16" customFormat="1" ht="26.25" customHeight="1">
      <c r="A437" s="23" t="s">
        <v>1073</v>
      </c>
      <c r="B437" s="22" t="s">
        <v>165</v>
      </c>
      <c r="C437" s="23" t="s">
        <v>176</v>
      </c>
      <c r="D437" s="23" t="s">
        <v>78</v>
      </c>
      <c r="E437" s="23" t="s">
        <v>763</v>
      </c>
      <c r="F437" s="23" t="s">
        <v>164</v>
      </c>
      <c r="G437" s="58">
        <v>7726.5</v>
      </c>
      <c r="H437" s="58">
        <v>7726.5</v>
      </c>
      <c r="I437" s="58">
        <v>7726.5</v>
      </c>
      <c r="J437" s="77">
        <f t="shared" si="73"/>
        <v>100</v>
      </c>
      <c r="K437" s="49"/>
      <c r="L437" s="50"/>
      <c r="M437" s="72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>
        <v>7726.5</v>
      </c>
      <c r="AC437" s="75"/>
      <c r="AD437" s="75"/>
      <c r="AE437" s="75"/>
      <c r="AF437" s="75"/>
      <c r="AG437" s="75"/>
    </row>
    <row r="438" spans="1:33" s="16" customFormat="1" ht="76.5">
      <c r="A438" s="23" t="s">
        <v>910</v>
      </c>
      <c r="B438" s="22" t="s">
        <v>573</v>
      </c>
      <c r="C438" s="23" t="s">
        <v>176</v>
      </c>
      <c r="D438" s="23" t="s">
        <v>78</v>
      </c>
      <c r="E438" s="23" t="s">
        <v>641</v>
      </c>
      <c r="F438" s="23"/>
      <c r="G438" s="58">
        <f aca="true" t="shared" si="88" ref="G438:I439">G439</f>
        <v>327.5</v>
      </c>
      <c r="H438" s="58">
        <f t="shared" si="88"/>
        <v>327.5</v>
      </c>
      <c r="I438" s="58">
        <f t="shared" si="88"/>
        <v>327.5</v>
      </c>
      <c r="J438" s="77">
        <f t="shared" si="73"/>
        <v>100</v>
      </c>
      <c r="K438" s="49"/>
      <c r="L438" s="50"/>
      <c r="M438" s="72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</row>
    <row r="439" spans="1:33" s="16" customFormat="1" ht="31.5" customHeight="1">
      <c r="A439" s="23" t="s">
        <v>911</v>
      </c>
      <c r="B439" s="22" t="s">
        <v>270</v>
      </c>
      <c r="C439" s="23" t="s">
        <v>176</v>
      </c>
      <c r="D439" s="23" t="s">
        <v>78</v>
      </c>
      <c r="E439" s="23" t="s">
        <v>641</v>
      </c>
      <c r="F439" s="23" t="s">
        <v>163</v>
      </c>
      <c r="G439" s="58">
        <f t="shared" si="88"/>
        <v>327.5</v>
      </c>
      <c r="H439" s="58">
        <f t="shared" si="88"/>
        <v>327.5</v>
      </c>
      <c r="I439" s="58">
        <f t="shared" si="88"/>
        <v>327.5</v>
      </c>
      <c r="J439" s="77">
        <f t="shared" si="73"/>
        <v>100</v>
      </c>
      <c r="K439" s="49"/>
      <c r="L439" s="50"/>
      <c r="M439" s="72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</row>
    <row r="440" spans="1:33" s="16" customFormat="1" ht="24" customHeight="1">
      <c r="A440" s="23" t="s">
        <v>474</v>
      </c>
      <c r="B440" s="22" t="s">
        <v>165</v>
      </c>
      <c r="C440" s="23" t="s">
        <v>176</v>
      </c>
      <c r="D440" s="23" t="s">
        <v>78</v>
      </c>
      <c r="E440" s="23" t="s">
        <v>641</v>
      </c>
      <c r="F440" s="23" t="s">
        <v>164</v>
      </c>
      <c r="G440" s="58">
        <v>327.5</v>
      </c>
      <c r="H440" s="58">
        <v>327.5</v>
      </c>
      <c r="I440" s="58">
        <v>327.5</v>
      </c>
      <c r="J440" s="77">
        <f t="shared" si="73"/>
        <v>100</v>
      </c>
      <c r="K440" s="49"/>
      <c r="L440" s="50"/>
      <c r="M440" s="72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>
        <v>200</v>
      </c>
      <c r="Z440" s="75">
        <v>459.8</v>
      </c>
      <c r="AA440" s="75"/>
      <c r="AB440" s="75">
        <v>327.5</v>
      </c>
      <c r="AC440" s="75"/>
      <c r="AD440" s="75"/>
      <c r="AE440" s="75"/>
      <c r="AF440" s="75"/>
      <c r="AG440" s="75"/>
    </row>
    <row r="441" spans="1:33" s="16" customFormat="1" ht="63" customHeight="1">
      <c r="A441" s="23" t="s">
        <v>475</v>
      </c>
      <c r="B441" s="22" t="s">
        <v>404</v>
      </c>
      <c r="C441" s="23" t="s">
        <v>176</v>
      </c>
      <c r="D441" s="23" t="s">
        <v>78</v>
      </c>
      <c r="E441" s="23" t="s">
        <v>760</v>
      </c>
      <c r="F441" s="23"/>
      <c r="G441" s="58">
        <f aca="true" t="shared" si="89" ref="G441:I442">SUM(G442)</f>
        <v>127.1</v>
      </c>
      <c r="H441" s="58">
        <f t="shared" si="89"/>
        <v>127.1</v>
      </c>
      <c r="I441" s="58">
        <f t="shared" si="89"/>
        <v>127.1</v>
      </c>
      <c r="J441" s="77">
        <f t="shared" si="73"/>
        <v>100</v>
      </c>
      <c r="K441" s="49"/>
      <c r="L441" s="49">
        <v>5</v>
      </c>
      <c r="M441" s="72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</row>
    <row r="442" spans="1:33" s="16" customFormat="1" ht="33" customHeight="1">
      <c r="A442" s="23" t="s">
        <v>476</v>
      </c>
      <c r="B442" s="22" t="s">
        <v>270</v>
      </c>
      <c r="C442" s="23" t="s">
        <v>176</v>
      </c>
      <c r="D442" s="23" t="s">
        <v>78</v>
      </c>
      <c r="E442" s="23" t="s">
        <v>760</v>
      </c>
      <c r="F442" s="23" t="s">
        <v>163</v>
      </c>
      <c r="G442" s="58">
        <f>SUM(G443)</f>
        <v>127.1</v>
      </c>
      <c r="H442" s="58">
        <f>SUM(H443)</f>
        <v>127.1</v>
      </c>
      <c r="I442" s="58">
        <f t="shared" si="89"/>
        <v>127.1</v>
      </c>
      <c r="J442" s="77">
        <f t="shared" si="73"/>
        <v>100</v>
      </c>
      <c r="K442" s="49"/>
      <c r="L442" s="50"/>
      <c r="M442" s="72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  <c r="AB442" s="75"/>
      <c r="AC442" s="75"/>
      <c r="AD442" s="75"/>
      <c r="AE442" s="75"/>
      <c r="AF442" s="75"/>
      <c r="AG442" s="75"/>
    </row>
    <row r="443" spans="1:33" s="16" customFormat="1" ht="23.25" customHeight="1">
      <c r="A443" s="23" t="s">
        <v>1074</v>
      </c>
      <c r="B443" s="22" t="s">
        <v>165</v>
      </c>
      <c r="C443" s="23" t="s">
        <v>176</v>
      </c>
      <c r="D443" s="23" t="s">
        <v>78</v>
      </c>
      <c r="E443" s="23" t="s">
        <v>760</v>
      </c>
      <c r="F443" s="23" t="s">
        <v>164</v>
      </c>
      <c r="G443" s="58">
        <v>127.1</v>
      </c>
      <c r="H443" s="58">
        <v>127.1</v>
      </c>
      <c r="I443" s="58">
        <v>127.1</v>
      </c>
      <c r="J443" s="77">
        <f aca="true" t="shared" si="90" ref="J443:J512">I443/H443*100</f>
        <v>100</v>
      </c>
      <c r="K443" s="49"/>
      <c r="L443" s="50"/>
      <c r="M443" s="72"/>
      <c r="N443" s="75"/>
      <c r="O443" s="75"/>
      <c r="P443" s="75"/>
      <c r="Q443" s="75"/>
      <c r="R443" s="75"/>
      <c r="S443" s="75"/>
      <c r="T443" s="75"/>
      <c r="U443" s="75">
        <v>5</v>
      </c>
      <c r="V443" s="75"/>
      <c r="W443" s="75"/>
      <c r="X443" s="75"/>
      <c r="Y443" s="75"/>
      <c r="Z443" s="75">
        <v>10</v>
      </c>
      <c r="AA443" s="75"/>
      <c r="AB443" s="75">
        <v>127.1</v>
      </c>
      <c r="AC443" s="75"/>
      <c r="AD443" s="75"/>
      <c r="AE443" s="75"/>
      <c r="AF443" s="75"/>
      <c r="AG443" s="75"/>
    </row>
    <row r="444" spans="1:33" s="16" customFormat="1" ht="72.75" customHeight="1">
      <c r="A444" s="23" t="s">
        <v>1075</v>
      </c>
      <c r="B444" s="22" t="s">
        <v>510</v>
      </c>
      <c r="C444" s="23" t="s">
        <v>176</v>
      </c>
      <c r="D444" s="23" t="s">
        <v>78</v>
      </c>
      <c r="E444" s="23" t="s">
        <v>761</v>
      </c>
      <c r="F444" s="23"/>
      <c r="G444" s="58">
        <f aca="true" t="shared" si="91" ref="G444:I445">G445</f>
        <v>400</v>
      </c>
      <c r="H444" s="58">
        <f t="shared" si="91"/>
        <v>400</v>
      </c>
      <c r="I444" s="58">
        <f t="shared" si="91"/>
        <v>400</v>
      </c>
      <c r="J444" s="77">
        <f t="shared" si="90"/>
        <v>100</v>
      </c>
      <c r="K444" s="49"/>
      <c r="L444" s="49">
        <v>15</v>
      </c>
      <c r="M444" s="72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>
        <v>200</v>
      </c>
      <c r="AA444" s="75"/>
      <c r="AB444" s="75"/>
      <c r="AC444" s="75"/>
      <c r="AD444" s="75"/>
      <c r="AE444" s="75"/>
      <c r="AF444" s="75"/>
      <c r="AG444" s="75"/>
    </row>
    <row r="445" spans="1:33" s="17" customFormat="1" ht="35.25" customHeight="1">
      <c r="A445" s="23" t="s">
        <v>840</v>
      </c>
      <c r="B445" s="22" t="s">
        <v>270</v>
      </c>
      <c r="C445" s="23" t="s">
        <v>176</v>
      </c>
      <c r="D445" s="23" t="s">
        <v>78</v>
      </c>
      <c r="E445" s="23" t="s">
        <v>761</v>
      </c>
      <c r="F445" s="23" t="s">
        <v>163</v>
      </c>
      <c r="G445" s="58">
        <f t="shared" si="91"/>
        <v>400</v>
      </c>
      <c r="H445" s="58">
        <f t="shared" si="91"/>
        <v>400</v>
      </c>
      <c r="I445" s="58">
        <f t="shared" si="91"/>
        <v>400</v>
      </c>
      <c r="J445" s="77">
        <f t="shared" si="90"/>
        <v>100</v>
      </c>
      <c r="K445" s="51"/>
      <c r="L445" s="46"/>
      <c r="M445" s="74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</row>
    <row r="446" spans="1:33" s="15" customFormat="1" ht="24" customHeight="1">
      <c r="A446" s="23" t="s">
        <v>841</v>
      </c>
      <c r="B446" s="22" t="s">
        <v>165</v>
      </c>
      <c r="C446" s="23" t="s">
        <v>176</v>
      </c>
      <c r="D446" s="23" t="s">
        <v>78</v>
      </c>
      <c r="E446" s="23" t="s">
        <v>761</v>
      </c>
      <c r="F446" s="23" t="s">
        <v>164</v>
      </c>
      <c r="G446" s="58">
        <f>200+200</f>
        <v>400</v>
      </c>
      <c r="H446" s="58">
        <f>200+200</f>
        <v>400</v>
      </c>
      <c r="I446" s="58">
        <v>400</v>
      </c>
      <c r="J446" s="77">
        <f t="shared" si="90"/>
        <v>100</v>
      </c>
      <c r="K446" s="47"/>
      <c r="L446" s="48"/>
      <c r="M446" s="86"/>
      <c r="N446" s="83"/>
      <c r="O446" s="83"/>
      <c r="P446" s="83"/>
      <c r="Q446" s="83"/>
      <c r="R446" s="83"/>
      <c r="S446" s="83"/>
      <c r="T446" s="83"/>
      <c r="U446" s="43">
        <v>15</v>
      </c>
      <c r="V446" s="83"/>
      <c r="W446" s="83"/>
      <c r="X446" s="83"/>
      <c r="Y446" s="83"/>
      <c r="Z446" s="83"/>
      <c r="AA446" s="83"/>
      <c r="AB446" s="83">
        <v>400</v>
      </c>
      <c r="AC446" s="83"/>
      <c r="AD446" s="83"/>
      <c r="AE446" s="83"/>
      <c r="AF446" s="83"/>
      <c r="AG446" s="83"/>
    </row>
    <row r="447" spans="1:33" s="15" customFormat="1" ht="71.25" customHeight="1">
      <c r="A447" s="23" t="s">
        <v>842</v>
      </c>
      <c r="B447" s="22" t="s">
        <v>1176</v>
      </c>
      <c r="C447" s="23" t="s">
        <v>176</v>
      </c>
      <c r="D447" s="23" t="s">
        <v>78</v>
      </c>
      <c r="E447" s="23" t="s">
        <v>511</v>
      </c>
      <c r="F447" s="23"/>
      <c r="G447" s="58">
        <f aca="true" t="shared" si="92" ref="G447:I448">G448</f>
        <v>200.1</v>
      </c>
      <c r="H447" s="58">
        <f t="shared" si="92"/>
        <v>200.1</v>
      </c>
      <c r="I447" s="58">
        <f t="shared" si="92"/>
        <v>200.1</v>
      </c>
      <c r="J447" s="77">
        <f t="shared" si="90"/>
        <v>100</v>
      </c>
      <c r="K447" s="49"/>
      <c r="L447" s="49">
        <v>10</v>
      </c>
      <c r="M447" s="72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>
        <v>205</v>
      </c>
      <c r="AB447" s="75"/>
      <c r="AC447" s="75"/>
      <c r="AD447" s="83"/>
      <c r="AE447" s="83"/>
      <c r="AF447" s="83"/>
      <c r="AG447" s="83"/>
    </row>
    <row r="448" spans="1:33" s="15" customFormat="1" ht="29.25" customHeight="1">
      <c r="A448" s="23" t="s">
        <v>1076</v>
      </c>
      <c r="B448" s="22" t="s">
        <v>270</v>
      </c>
      <c r="C448" s="23" t="s">
        <v>176</v>
      </c>
      <c r="D448" s="23" t="s">
        <v>78</v>
      </c>
      <c r="E448" s="23" t="s">
        <v>511</v>
      </c>
      <c r="F448" s="23" t="s">
        <v>163</v>
      </c>
      <c r="G448" s="58">
        <f t="shared" si="92"/>
        <v>200.1</v>
      </c>
      <c r="H448" s="58">
        <f t="shared" si="92"/>
        <v>200.1</v>
      </c>
      <c r="I448" s="58">
        <f t="shared" si="92"/>
        <v>200.1</v>
      </c>
      <c r="J448" s="77">
        <f t="shared" si="90"/>
        <v>100</v>
      </c>
      <c r="K448" s="49"/>
      <c r="L448" s="50"/>
      <c r="M448" s="72"/>
      <c r="N448" s="75"/>
      <c r="O448" s="75"/>
      <c r="P448" s="75"/>
      <c r="Q448" s="75"/>
      <c r="R448" s="75"/>
      <c r="S448" s="75"/>
      <c r="T448" s="75"/>
      <c r="U448" s="75">
        <v>10</v>
      </c>
      <c r="V448" s="75"/>
      <c r="W448" s="75"/>
      <c r="X448" s="75"/>
      <c r="Y448" s="75"/>
      <c r="Z448" s="75"/>
      <c r="AA448" s="75"/>
      <c r="AB448" s="75"/>
      <c r="AC448" s="75"/>
      <c r="AD448" s="83"/>
      <c r="AE448" s="83"/>
      <c r="AF448" s="83"/>
      <c r="AG448" s="83"/>
    </row>
    <row r="449" spans="1:33" s="15" customFormat="1" ht="24" customHeight="1">
      <c r="A449" s="23" t="s">
        <v>1077</v>
      </c>
      <c r="B449" s="22" t="s">
        <v>165</v>
      </c>
      <c r="C449" s="23" t="s">
        <v>176</v>
      </c>
      <c r="D449" s="23" t="s">
        <v>78</v>
      </c>
      <c r="E449" s="23" t="s">
        <v>511</v>
      </c>
      <c r="F449" s="23" t="s">
        <v>164</v>
      </c>
      <c r="G449" s="58">
        <v>200.1</v>
      </c>
      <c r="H449" s="58">
        <v>200.1</v>
      </c>
      <c r="I449" s="58">
        <v>200.1</v>
      </c>
      <c r="J449" s="77">
        <f t="shared" si="90"/>
        <v>100</v>
      </c>
      <c r="K449" s="49"/>
      <c r="L449" s="50"/>
      <c r="M449" s="72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  <c r="AB449" s="75"/>
      <c r="AC449" s="75">
        <v>200.1</v>
      </c>
      <c r="AD449" s="83"/>
      <c r="AE449" s="83"/>
      <c r="AF449" s="83"/>
      <c r="AG449" s="83"/>
    </row>
    <row r="450" spans="1:33" s="16" customFormat="1" ht="94.5" customHeight="1">
      <c r="A450" s="23" t="s">
        <v>1078</v>
      </c>
      <c r="B450" s="22" t="s">
        <v>1177</v>
      </c>
      <c r="C450" s="23" t="s">
        <v>176</v>
      </c>
      <c r="D450" s="23" t="s">
        <v>78</v>
      </c>
      <c r="E450" s="23" t="s">
        <v>511</v>
      </c>
      <c r="F450" s="23"/>
      <c r="G450" s="58">
        <f aca="true" t="shared" si="93" ref="G450:I451">G451</f>
        <v>51.7</v>
      </c>
      <c r="H450" s="58">
        <f t="shared" si="93"/>
        <v>51.7</v>
      </c>
      <c r="I450" s="58">
        <f t="shared" si="93"/>
        <v>51.7</v>
      </c>
      <c r="J450" s="77">
        <f t="shared" si="90"/>
        <v>100</v>
      </c>
      <c r="K450" s="49"/>
      <c r="L450" s="50"/>
      <c r="M450" s="72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  <c r="AB450" s="75"/>
      <c r="AC450" s="75"/>
      <c r="AD450" s="75"/>
      <c r="AE450" s="75"/>
      <c r="AF450" s="75"/>
      <c r="AG450" s="75"/>
    </row>
    <row r="451" spans="1:33" s="16" customFormat="1" ht="32.25" customHeight="1">
      <c r="A451" s="23" t="s">
        <v>1079</v>
      </c>
      <c r="B451" s="22" t="s">
        <v>270</v>
      </c>
      <c r="C451" s="23" t="s">
        <v>176</v>
      </c>
      <c r="D451" s="23" t="s">
        <v>78</v>
      </c>
      <c r="E451" s="23" t="s">
        <v>511</v>
      </c>
      <c r="F451" s="23" t="s">
        <v>163</v>
      </c>
      <c r="G451" s="58">
        <f t="shared" si="93"/>
        <v>51.7</v>
      </c>
      <c r="H451" s="58">
        <f t="shared" si="93"/>
        <v>51.7</v>
      </c>
      <c r="I451" s="58">
        <f t="shared" si="93"/>
        <v>51.7</v>
      </c>
      <c r="J451" s="77">
        <f t="shared" si="90"/>
        <v>100</v>
      </c>
      <c r="K451" s="49"/>
      <c r="L451" s="50"/>
      <c r="M451" s="72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  <c r="AB451" s="75"/>
      <c r="AC451" s="75"/>
      <c r="AD451" s="75"/>
      <c r="AE451" s="75"/>
      <c r="AF451" s="75"/>
      <c r="AG451" s="75"/>
    </row>
    <row r="452" spans="1:33" s="16" customFormat="1" ht="20.25" customHeight="1">
      <c r="A452" s="23" t="s">
        <v>1080</v>
      </c>
      <c r="B452" s="22" t="s">
        <v>165</v>
      </c>
      <c r="C452" s="23" t="s">
        <v>176</v>
      </c>
      <c r="D452" s="23" t="s">
        <v>78</v>
      </c>
      <c r="E452" s="23" t="s">
        <v>511</v>
      </c>
      <c r="F452" s="23" t="s">
        <v>164</v>
      </c>
      <c r="G452" s="58">
        <v>51.7</v>
      </c>
      <c r="H452" s="58">
        <v>51.7</v>
      </c>
      <c r="I452" s="58">
        <v>51.7</v>
      </c>
      <c r="J452" s="77">
        <f t="shared" si="90"/>
        <v>100</v>
      </c>
      <c r="K452" s="49"/>
      <c r="L452" s="50"/>
      <c r="M452" s="72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>
        <v>51.7</v>
      </c>
      <c r="AA452" s="75"/>
      <c r="AB452" s="75">
        <v>51.7</v>
      </c>
      <c r="AC452" s="75"/>
      <c r="AD452" s="75"/>
      <c r="AE452" s="75"/>
      <c r="AF452" s="75"/>
      <c r="AG452" s="75"/>
    </row>
    <row r="453" spans="1:33" s="16" customFormat="1" ht="32.25" customHeight="1">
      <c r="A453" s="23" t="s">
        <v>1081</v>
      </c>
      <c r="B453" s="22" t="s">
        <v>96</v>
      </c>
      <c r="C453" s="23" t="s">
        <v>176</v>
      </c>
      <c r="D453" s="23" t="s">
        <v>78</v>
      </c>
      <c r="E453" s="23" t="s">
        <v>365</v>
      </c>
      <c r="F453" s="23"/>
      <c r="G453" s="58">
        <f>G454+G457</f>
        <v>13</v>
      </c>
      <c r="H453" s="58">
        <f>H454+H457</f>
        <v>13</v>
      </c>
      <c r="I453" s="58">
        <f>I454+I457</f>
        <v>13</v>
      </c>
      <c r="J453" s="77">
        <f t="shared" si="90"/>
        <v>100</v>
      </c>
      <c r="K453" s="49"/>
      <c r="L453" s="50"/>
      <c r="M453" s="72"/>
      <c r="N453" s="75"/>
      <c r="O453" s="75"/>
      <c r="P453" s="75"/>
      <c r="Q453" s="75"/>
      <c r="R453" s="75"/>
      <c r="S453" s="75"/>
      <c r="T453" s="75"/>
      <c r="U453" s="75">
        <v>8</v>
      </c>
      <c r="V453" s="75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</row>
    <row r="454" spans="1:33" s="16" customFormat="1" ht="57" customHeight="1">
      <c r="A454" s="23" t="s">
        <v>1082</v>
      </c>
      <c r="B454" s="22" t="s">
        <v>508</v>
      </c>
      <c r="C454" s="23" t="s">
        <v>176</v>
      </c>
      <c r="D454" s="23" t="s">
        <v>78</v>
      </c>
      <c r="E454" s="23" t="s">
        <v>764</v>
      </c>
      <c r="F454" s="23"/>
      <c r="G454" s="58">
        <f aca="true" t="shared" si="94" ref="G454:I455">G455</f>
        <v>8</v>
      </c>
      <c r="H454" s="58">
        <f t="shared" si="94"/>
        <v>8</v>
      </c>
      <c r="I454" s="58">
        <f t="shared" si="94"/>
        <v>8</v>
      </c>
      <c r="J454" s="77">
        <f t="shared" si="90"/>
        <v>100</v>
      </c>
      <c r="K454" s="49"/>
      <c r="L454" s="50"/>
      <c r="M454" s="72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  <c r="AB454" s="75"/>
      <c r="AC454" s="75"/>
      <c r="AD454" s="75"/>
      <c r="AE454" s="75"/>
      <c r="AF454" s="75"/>
      <c r="AG454" s="75"/>
    </row>
    <row r="455" spans="1:33" s="16" customFormat="1" ht="30.75" customHeight="1">
      <c r="A455" s="23" t="s">
        <v>1083</v>
      </c>
      <c r="B455" s="22" t="s">
        <v>270</v>
      </c>
      <c r="C455" s="23" t="s">
        <v>176</v>
      </c>
      <c r="D455" s="23" t="s">
        <v>78</v>
      </c>
      <c r="E455" s="23" t="s">
        <v>764</v>
      </c>
      <c r="F455" s="23" t="s">
        <v>163</v>
      </c>
      <c r="G455" s="58">
        <f t="shared" si="94"/>
        <v>8</v>
      </c>
      <c r="H455" s="58">
        <f t="shared" si="94"/>
        <v>8</v>
      </c>
      <c r="I455" s="58">
        <f t="shared" si="94"/>
        <v>8</v>
      </c>
      <c r="J455" s="77">
        <f t="shared" si="90"/>
        <v>100</v>
      </c>
      <c r="K455" s="49"/>
      <c r="L455" s="50"/>
      <c r="M455" s="72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5"/>
      <c r="AB455" s="75"/>
      <c r="AC455" s="75"/>
      <c r="AD455" s="75"/>
      <c r="AE455" s="75"/>
      <c r="AF455" s="75"/>
      <c r="AG455" s="75"/>
    </row>
    <row r="456" spans="1:33" s="16" customFormat="1" ht="20.25" customHeight="1">
      <c r="A456" s="23" t="s">
        <v>701</v>
      </c>
      <c r="B456" s="22" t="s">
        <v>165</v>
      </c>
      <c r="C456" s="23" t="s">
        <v>176</v>
      </c>
      <c r="D456" s="23" t="s">
        <v>78</v>
      </c>
      <c r="E456" s="23" t="s">
        <v>764</v>
      </c>
      <c r="F456" s="23" t="s">
        <v>164</v>
      </c>
      <c r="G456" s="58">
        <v>8</v>
      </c>
      <c r="H456" s="58">
        <v>8</v>
      </c>
      <c r="I456" s="58">
        <v>8</v>
      </c>
      <c r="J456" s="77">
        <f t="shared" si="90"/>
        <v>100</v>
      </c>
      <c r="K456" s="49"/>
      <c r="L456" s="50"/>
      <c r="M456" s="72"/>
      <c r="N456" s="75"/>
      <c r="O456" s="75"/>
      <c r="P456" s="75"/>
      <c r="Q456" s="75"/>
      <c r="R456" s="75"/>
      <c r="S456" s="75"/>
      <c r="T456" s="75"/>
      <c r="U456" s="75">
        <v>5</v>
      </c>
      <c r="V456" s="75"/>
      <c r="W456" s="75"/>
      <c r="X456" s="75"/>
      <c r="Y456" s="75"/>
      <c r="Z456" s="75">
        <v>8</v>
      </c>
      <c r="AA456" s="75"/>
      <c r="AB456" s="75">
        <v>8</v>
      </c>
      <c r="AC456" s="75"/>
      <c r="AD456" s="75"/>
      <c r="AE456" s="75"/>
      <c r="AF456" s="75"/>
      <c r="AG456" s="75"/>
    </row>
    <row r="457" spans="1:33" s="3" customFormat="1" ht="60" customHeight="1">
      <c r="A457" s="23" t="s">
        <v>702</v>
      </c>
      <c r="B457" s="22" t="s">
        <v>509</v>
      </c>
      <c r="C457" s="23" t="s">
        <v>176</v>
      </c>
      <c r="D457" s="23" t="s">
        <v>78</v>
      </c>
      <c r="E457" s="23" t="s">
        <v>765</v>
      </c>
      <c r="F457" s="23"/>
      <c r="G457" s="58">
        <f aca="true" t="shared" si="95" ref="G457:I458">SUM(G458)</f>
        <v>5</v>
      </c>
      <c r="H457" s="58">
        <f t="shared" si="95"/>
        <v>5</v>
      </c>
      <c r="I457" s="58">
        <f t="shared" si="95"/>
        <v>5</v>
      </c>
      <c r="J457" s="77">
        <f t="shared" si="90"/>
        <v>100</v>
      </c>
      <c r="K457" s="49"/>
      <c r="L457" s="50"/>
      <c r="M457" s="72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  <c r="AB457" s="75"/>
      <c r="AC457" s="75"/>
      <c r="AD457" s="75"/>
      <c r="AE457" s="75"/>
      <c r="AF457" s="75"/>
      <c r="AG457" s="75"/>
    </row>
    <row r="458" spans="1:33" s="3" customFormat="1" ht="33.75" customHeight="1">
      <c r="A458" s="23" t="s">
        <v>703</v>
      </c>
      <c r="B458" s="22" t="s">
        <v>270</v>
      </c>
      <c r="C458" s="23" t="s">
        <v>176</v>
      </c>
      <c r="D458" s="23" t="s">
        <v>78</v>
      </c>
      <c r="E458" s="23" t="s">
        <v>765</v>
      </c>
      <c r="F458" s="23" t="s">
        <v>163</v>
      </c>
      <c r="G458" s="58">
        <f>SUM(G459)</f>
        <v>5</v>
      </c>
      <c r="H458" s="58">
        <f>SUM(H459)</f>
        <v>5</v>
      </c>
      <c r="I458" s="58">
        <f t="shared" si="95"/>
        <v>5</v>
      </c>
      <c r="J458" s="77">
        <f t="shared" si="90"/>
        <v>100</v>
      </c>
      <c r="K458" s="49"/>
      <c r="L458" s="50"/>
      <c r="M458" s="72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  <c r="AB458" s="75"/>
      <c r="AC458" s="75"/>
      <c r="AD458" s="75"/>
      <c r="AE458" s="75"/>
      <c r="AF458" s="75"/>
      <c r="AG458" s="75"/>
    </row>
    <row r="459" spans="1:33" s="3" customFormat="1" ht="21.75" customHeight="1">
      <c r="A459" s="23" t="s">
        <v>704</v>
      </c>
      <c r="B459" s="22" t="s">
        <v>165</v>
      </c>
      <c r="C459" s="23" t="s">
        <v>176</v>
      </c>
      <c r="D459" s="23" t="s">
        <v>78</v>
      </c>
      <c r="E459" s="23" t="s">
        <v>765</v>
      </c>
      <c r="F459" s="23" t="s">
        <v>164</v>
      </c>
      <c r="G459" s="58">
        <v>5</v>
      </c>
      <c r="H459" s="58">
        <v>5</v>
      </c>
      <c r="I459" s="58">
        <v>5</v>
      </c>
      <c r="J459" s="77">
        <f t="shared" si="90"/>
        <v>100</v>
      </c>
      <c r="K459" s="49"/>
      <c r="L459" s="50"/>
      <c r="M459" s="72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>
        <v>5</v>
      </c>
      <c r="AA459" s="75"/>
      <c r="AB459" s="75">
        <v>5</v>
      </c>
      <c r="AC459" s="75"/>
      <c r="AD459" s="75"/>
      <c r="AE459" s="75"/>
      <c r="AF459" s="75"/>
      <c r="AG459" s="75"/>
    </row>
    <row r="460" spans="1:33" s="3" customFormat="1" ht="19.5" customHeight="1">
      <c r="A460" s="23" t="s">
        <v>705</v>
      </c>
      <c r="B460" s="34" t="s">
        <v>70</v>
      </c>
      <c r="C460" s="31" t="s">
        <v>176</v>
      </c>
      <c r="D460" s="31" t="s">
        <v>71</v>
      </c>
      <c r="E460" s="31" t="s">
        <v>160</v>
      </c>
      <c r="F460" s="31" t="s">
        <v>160</v>
      </c>
      <c r="G460" s="79">
        <f>G461+G520</f>
        <v>75102.3</v>
      </c>
      <c r="H460" s="79">
        <f>H461+H520</f>
        <v>78529.5</v>
      </c>
      <c r="I460" s="79">
        <f>I461+I520</f>
        <v>78529.5</v>
      </c>
      <c r="J460" s="77">
        <f t="shared" si="90"/>
        <v>100</v>
      </c>
      <c r="K460" s="49"/>
      <c r="L460" s="50"/>
      <c r="M460" s="72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  <c r="AB460" s="75"/>
      <c r="AC460" s="75"/>
      <c r="AD460" s="75"/>
      <c r="AE460" s="75"/>
      <c r="AF460" s="75"/>
      <c r="AG460" s="75"/>
    </row>
    <row r="461" spans="1:33" s="3" customFormat="1" ht="21.75" customHeight="1">
      <c r="A461" s="23" t="s">
        <v>706</v>
      </c>
      <c r="B461" s="35" t="s">
        <v>72</v>
      </c>
      <c r="C461" s="36" t="s">
        <v>176</v>
      </c>
      <c r="D461" s="36" t="s">
        <v>73</v>
      </c>
      <c r="E461" s="36" t="s">
        <v>160</v>
      </c>
      <c r="F461" s="36" t="s">
        <v>160</v>
      </c>
      <c r="G461" s="80">
        <f>G462</f>
        <v>72668.40000000001</v>
      </c>
      <c r="H461" s="80">
        <f>H462</f>
        <v>76140.6</v>
      </c>
      <c r="I461" s="80">
        <f>I462</f>
        <v>76140.6</v>
      </c>
      <c r="J461" s="77">
        <f t="shared" si="90"/>
        <v>100</v>
      </c>
      <c r="K461" s="49"/>
      <c r="L461" s="50">
        <v>9340.3</v>
      </c>
      <c r="M461" s="72"/>
      <c r="N461" s="75"/>
      <c r="O461" s="75"/>
      <c r="P461" s="75"/>
      <c r="Q461" s="75"/>
      <c r="R461" s="75"/>
      <c r="S461" s="75"/>
      <c r="T461" s="95"/>
      <c r="U461" s="95"/>
      <c r="V461" s="75"/>
      <c r="W461" s="75"/>
      <c r="X461" s="75"/>
      <c r="Y461" s="75"/>
      <c r="Z461" s="75"/>
      <c r="AA461" s="75"/>
      <c r="AB461" s="75"/>
      <c r="AC461" s="75"/>
      <c r="AD461" s="75"/>
      <c r="AE461" s="75"/>
      <c r="AF461" s="75"/>
      <c r="AG461" s="75"/>
    </row>
    <row r="462" spans="1:33" s="8" customFormat="1" ht="33.75" customHeight="1">
      <c r="A462" s="23" t="s">
        <v>707</v>
      </c>
      <c r="B462" s="24" t="s">
        <v>296</v>
      </c>
      <c r="C462" s="23" t="s">
        <v>176</v>
      </c>
      <c r="D462" s="23" t="s">
        <v>73</v>
      </c>
      <c r="E462" s="23" t="s">
        <v>326</v>
      </c>
      <c r="F462" s="23"/>
      <c r="G462" s="58">
        <f>G463+G476+G501</f>
        <v>72668.40000000001</v>
      </c>
      <c r="H462" s="58">
        <f>H463+H476+H501</f>
        <v>76140.6</v>
      </c>
      <c r="I462" s="58">
        <f>I463+I476+I501</f>
        <v>76140.6</v>
      </c>
      <c r="J462" s="77">
        <f t="shared" si="90"/>
        <v>100</v>
      </c>
      <c r="K462" s="52"/>
      <c r="L462" s="53"/>
      <c r="M462" s="73"/>
      <c r="N462" s="71"/>
      <c r="O462" s="71"/>
      <c r="P462" s="71"/>
      <c r="Q462" s="71"/>
      <c r="R462" s="71"/>
      <c r="S462" s="71"/>
      <c r="T462" s="98"/>
      <c r="U462" s="98"/>
      <c r="V462" s="71"/>
      <c r="W462" s="71"/>
      <c r="X462" s="71"/>
      <c r="Y462" s="71"/>
      <c r="Z462" s="71"/>
      <c r="AA462" s="71"/>
      <c r="AB462" s="71"/>
      <c r="AC462" s="71"/>
      <c r="AD462" s="71"/>
      <c r="AE462" s="71"/>
      <c r="AF462" s="71"/>
      <c r="AG462" s="71"/>
    </row>
    <row r="463" spans="1:33" s="4" customFormat="1" ht="21" customHeight="1">
      <c r="A463" s="23" t="s">
        <v>75</v>
      </c>
      <c r="B463" s="22" t="s">
        <v>74</v>
      </c>
      <c r="C463" s="23" t="s">
        <v>176</v>
      </c>
      <c r="D463" s="23" t="s">
        <v>73</v>
      </c>
      <c r="E463" s="23" t="s">
        <v>352</v>
      </c>
      <c r="F463" s="23"/>
      <c r="G463" s="58">
        <f>G464+G470+G473+G467</f>
        <v>21741.5</v>
      </c>
      <c r="H463" s="58">
        <f>H464+H470+H473+H467</f>
        <v>22892.4</v>
      </c>
      <c r="I463" s="58">
        <f>I464+I470+I473+I467</f>
        <v>22892.4</v>
      </c>
      <c r="J463" s="77">
        <f t="shared" si="90"/>
        <v>100</v>
      </c>
      <c r="K463" s="51"/>
      <c r="L463" s="46"/>
      <c r="M463" s="74"/>
      <c r="N463" s="43">
        <v>-10.4</v>
      </c>
      <c r="O463" s="65"/>
      <c r="P463" s="65"/>
      <c r="Q463" s="65"/>
      <c r="R463" s="65"/>
      <c r="S463" s="65"/>
      <c r="T463" s="96"/>
      <c r="U463" s="92">
        <v>15103.6</v>
      </c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</row>
    <row r="464" spans="1:33" s="4" customFormat="1" ht="72" customHeight="1">
      <c r="A464" s="23" t="s">
        <v>76</v>
      </c>
      <c r="B464" s="22" t="s">
        <v>767</v>
      </c>
      <c r="C464" s="23" t="s">
        <v>176</v>
      </c>
      <c r="D464" s="23" t="s">
        <v>73</v>
      </c>
      <c r="E464" s="23" t="s">
        <v>766</v>
      </c>
      <c r="F464" s="23"/>
      <c r="G464" s="58">
        <f aca="true" t="shared" si="96" ref="G464:I465">G465</f>
        <v>21343.5</v>
      </c>
      <c r="H464" s="58">
        <f t="shared" si="96"/>
        <v>21556.4</v>
      </c>
      <c r="I464" s="58">
        <f t="shared" si="96"/>
        <v>21556.4</v>
      </c>
      <c r="J464" s="77">
        <f t="shared" si="90"/>
        <v>100</v>
      </c>
      <c r="K464" s="51"/>
      <c r="L464" s="55">
        <v>19</v>
      </c>
      <c r="M464" s="74"/>
      <c r="N464" s="65"/>
      <c r="O464" s="65"/>
      <c r="P464" s="65"/>
      <c r="Q464" s="65"/>
      <c r="R464" s="65"/>
      <c r="S464" s="65"/>
      <c r="T464" s="96"/>
      <c r="U464" s="96"/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</row>
    <row r="465" spans="1:33" s="4" customFormat="1" ht="33" customHeight="1">
      <c r="A465" s="23" t="s">
        <v>135</v>
      </c>
      <c r="B465" s="22" t="s">
        <v>270</v>
      </c>
      <c r="C465" s="23" t="s">
        <v>176</v>
      </c>
      <c r="D465" s="23" t="s">
        <v>73</v>
      </c>
      <c r="E465" s="23" t="s">
        <v>766</v>
      </c>
      <c r="F465" s="23" t="s">
        <v>163</v>
      </c>
      <c r="G465" s="58">
        <f t="shared" si="96"/>
        <v>21343.5</v>
      </c>
      <c r="H465" s="58">
        <f t="shared" si="96"/>
        <v>21556.4</v>
      </c>
      <c r="I465" s="58">
        <f t="shared" si="96"/>
        <v>21556.4</v>
      </c>
      <c r="J465" s="77">
        <f t="shared" si="90"/>
        <v>100</v>
      </c>
      <c r="K465" s="51"/>
      <c r="L465" s="46"/>
      <c r="M465" s="74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</row>
    <row r="466" spans="1:33" s="4" customFormat="1" ht="22.5" customHeight="1">
      <c r="A466" s="23" t="s">
        <v>1084</v>
      </c>
      <c r="B466" s="22" t="s">
        <v>165</v>
      </c>
      <c r="C466" s="23" t="s">
        <v>176</v>
      </c>
      <c r="D466" s="23" t="s">
        <v>73</v>
      </c>
      <c r="E466" s="23" t="s">
        <v>766</v>
      </c>
      <c r="F466" s="23" t="s">
        <v>164</v>
      </c>
      <c r="G466" s="58">
        <v>21343.5</v>
      </c>
      <c r="H466" s="58">
        <f>21343.5+183.3+29.7-0.1</f>
        <v>21556.4</v>
      </c>
      <c r="I466" s="58">
        <v>21556.4</v>
      </c>
      <c r="J466" s="77">
        <f t="shared" si="90"/>
        <v>100</v>
      </c>
      <c r="K466" s="51"/>
      <c r="L466" s="46"/>
      <c r="M466" s="89">
        <v>114</v>
      </c>
      <c r="N466" s="65"/>
      <c r="O466" s="65"/>
      <c r="P466" s="65"/>
      <c r="Q466" s="65"/>
      <c r="R466" s="65"/>
      <c r="S466" s="65"/>
      <c r="T466" s="65"/>
      <c r="U466" s="43">
        <v>158.3</v>
      </c>
      <c r="V466" s="65"/>
      <c r="W466" s="65"/>
      <c r="X466" s="65"/>
      <c r="Y466" s="65"/>
      <c r="Z466" s="43">
        <v>16163.1</v>
      </c>
      <c r="AA466" s="65"/>
      <c r="AB466" s="43">
        <v>21343.5</v>
      </c>
      <c r="AC466" s="43"/>
      <c r="AD466" s="65"/>
      <c r="AE466" s="43">
        <v>183.3</v>
      </c>
      <c r="AF466" s="43">
        <v>29.7</v>
      </c>
      <c r="AG466" s="65"/>
    </row>
    <row r="467" spans="1:33" s="4" customFormat="1" ht="90" customHeight="1">
      <c r="A467" s="23" t="s">
        <v>1085</v>
      </c>
      <c r="B467" s="124" t="s">
        <v>1486</v>
      </c>
      <c r="C467" s="23" t="s">
        <v>176</v>
      </c>
      <c r="D467" s="23" t="s">
        <v>73</v>
      </c>
      <c r="E467" s="23" t="s">
        <v>1485</v>
      </c>
      <c r="F467" s="23"/>
      <c r="G467" s="58">
        <f aca="true" t="shared" si="97" ref="G467:I468">G468</f>
        <v>0</v>
      </c>
      <c r="H467" s="58">
        <f t="shared" si="97"/>
        <v>817.6</v>
      </c>
      <c r="I467" s="58">
        <f t="shared" si="97"/>
        <v>817.6</v>
      </c>
      <c r="J467" s="77">
        <f t="shared" si="90"/>
        <v>100</v>
      </c>
      <c r="K467" s="51"/>
      <c r="L467" s="46"/>
      <c r="M467" s="89"/>
      <c r="N467" s="65"/>
      <c r="O467" s="65"/>
      <c r="P467" s="65"/>
      <c r="Q467" s="65"/>
      <c r="R467" s="65"/>
      <c r="S467" s="65"/>
      <c r="T467" s="65"/>
      <c r="U467" s="43"/>
      <c r="V467" s="65"/>
      <c r="W467" s="65"/>
      <c r="X467" s="65"/>
      <c r="Y467" s="65"/>
      <c r="Z467" s="43"/>
      <c r="AA467" s="65"/>
      <c r="AB467" s="43"/>
      <c r="AC467" s="43"/>
      <c r="AD467" s="65"/>
      <c r="AE467" s="43"/>
      <c r="AF467" s="43"/>
      <c r="AG467" s="65"/>
    </row>
    <row r="468" spans="1:33" s="4" customFormat="1" ht="22.5" customHeight="1">
      <c r="A468" s="23" t="s">
        <v>1086</v>
      </c>
      <c r="B468" s="22" t="s">
        <v>270</v>
      </c>
      <c r="C468" s="23" t="s">
        <v>176</v>
      </c>
      <c r="D468" s="23" t="s">
        <v>73</v>
      </c>
      <c r="E468" s="23" t="s">
        <v>1485</v>
      </c>
      <c r="F468" s="23" t="s">
        <v>163</v>
      </c>
      <c r="G468" s="58">
        <f t="shared" si="97"/>
        <v>0</v>
      </c>
      <c r="H468" s="58">
        <f t="shared" si="97"/>
        <v>817.6</v>
      </c>
      <c r="I468" s="58">
        <f t="shared" si="97"/>
        <v>817.6</v>
      </c>
      <c r="J468" s="77">
        <f t="shared" si="90"/>
        <v>100</v>
      </c>
      <c r="K468" s="51"/>
      <c r="L468" s="46"/>
      <c r="M468" s="89"/>
      <c r="N468" s="65"/>
      <c r="O468" s="65"/>
      <c r="P468" s="65"/>
      <c r="Q468" s="65"/>
      <c r="R468" s="65"/>
      <c r="S468" s="65"/>
      <c r="T468" s="65"/>
      <c r="U468" s="43"/>
      <c r="V468" s="65"/>
      <c r="W468" s="65"/>
      <c r="X468" s="65"/>
      <c r="Y468" s="65"/>
      <c r="Z468" s="43"/>
      <c r="AA468" s="65"/>
      <c r="AB468" s="43"/>
      <c r="AC468" s="43"/>
      <c r="AD468" s="65"/>
      <c r="AE468" s="43"/>
      <c r="AF468" s="43"/>
      <c r="AG468" s="65"/>
    </row>
    <row r="469" spans="1:33" s="4" customFormat="1" ht="22.5" customHeight="1">
      <c r="A469" s="23" t="s">
        <v>136</v>
      </c>
      <c r="B469" s="22" t="s">
        <v>165</v>
      </c>
      <c r="C469" s="23" t="s">
        <v>176</v>
      </c>
      <c r="D469" s="23" t="s">
        <v>73</v>
      </c>
      <c r="E469" s="23" t="s">
        <v>1485</v>
      </c>
      <c r="F469" s="23" t="s">
        <v>164</v>
      </c>
      <c r="G469" s="58">
        <v>0</v>
      </c>
      <c r="H469" s="58">
        <v>817.6</v>
      </c>
      <c r="I469" s="58">
        <v>817.6</v>
      </c>
      <c r="J469" s="77">
        <f t="shared" si="90"/>
        <v>100</v>
      </c>
      <c r="K469" s="51"/>
      <c r="L469" s="46"/>
      <c r="M469" s="89"/>
      <c r="N469" s="65"/>
      <c r="O469" s="65"/>
      <c r="P469" s="65"/>
      <c r="Q469" s="65"/>
      <c r="R469" s="65"/>
      <c r="S469" s="65"/>
      <c r="T469" s="65"/>
      <c r="U469" s="43"/>
      <c r="V469" s="65"/>
      <c r="W469" s="65"/>
      <c r="X469" s="65"/>
      <c r="Y469" s="65"/>
      <c r="Z469" s="43"/>
      <c r="AA469" s="65"/>
      <c r="AB469" s="43"/>
      <c r="AC469" s="43"/>
      <c r="AD469" s="65"/>
      <c r="AE469" s="43"/>
      <c r="AF469" s="43"/>
      <c r="AG469" s="65"/>
    </row>
    <row r="470" spans="1:33" s="5" customFormat="1" ht="106.5" customHeight="1">
      <c r="A470" s="23" t="s">
        <v>805</v>
      </c>
      <c r="B470" s="22" t="s">
        <v>951</v>
      </c>
      <c r="C470" s="23" t="s">
        <v>176</v>
      </c>
      <c r="D470" s="23" t="s">
        <v>73</v>
      </c>
      <c r="E470" s="23" t="s">
        <v>546</v>
      </c>
      <c r="F470" s="23"/>
      <c r="G470" s="58">
        <f aca="true" t="shared" si="98" ref="G470:I471">G471</f>
        <v>398</v>
      </c>
      <c r="H470" s="58">
        <f t="shared" si="98"/>
        <v>398</v>
      </c>
      <c r="I470" s="58">
        <f t="shared" si="98"/>
        <v>398</v>
      </c>
      <c r="J470" s="77">
        <f t="shared" si="90"/>
        <v>100</v>
      </c>
      <c r="K470" s="47"/>
      <c r="L470" s="48"/>
      <c r="M470" s="86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</row>
    <row r="471" spans="1:33" s="5" customFormat="1" ht="33" customHeight="1">
      <c r="A471" s="23" t="s">
        <v>806</v>
      </c>
      <c r="B471" s="22" t="s">
        <v>270</v>
      </c>
      <c r="C471" s="23" t="s">
        <v>176</v>
      </c>
      <c r="D471" s="23" t="s">
        <v>73</v>
      </c>
      <c r="E471" s="23" t="s">
        <v>546</v>
      </c>
      <c r="F471" s="23" t="s">
        <v>163</v>
      </c>
      <c r="G471" s="58">
        <f t="shared" si="98"/>
        <v>398</v>
      </c>
      <c r="H471" s="58">
        <f t="shared" si="98"/>
        <v>398</v>
      </c>
      <c r="I471" s="58">
        <f t="shared" si="98"/>
        <v>398</v>
      </c>
      <c r="J471" s="77">
        <f t="shared" si="90"/>
        <v>100</v>
      </c>
      <c r="K471" s="47"/>
      <c r="L471" s="48"/>
      <c r="M471" s="86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</row>
    <row r="472" spans="1:33" s="5" customFormat="1" ht="24" customHeight="1">
      <c r="A472" s="23" t="s">
        <v>807</v>
      </c>
      <c r="B472" s="22" t="s">
        <v>165</v>
      </c>
      <c r="C472" s="23" t="s">
        <v>176</v>
      </c>
      <c r="D472" s="23" t="s">
        <v>73</v>
      </c>
      <c r="E472" s="23" t="s">
        <v>546</v>
      </c>
      <c r="F472" s="23" t="s">
        <v>164</v>
      </c>
      <c r="G472" s="58">
        <v>398</v>
      </c>
      <c r="H472" s="58">
        <v>398</v>
      </c>
      <c r="I472" s="58">
        <v>398</v>
      </c>
      <c r="J472" s="77">
        <f t="shared" si="90"/>
        <v>100</v>
      </c>
      <c r="K472" s="47"/>
      <c r="L472" s="48"/>
      <c r="M472" s="86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>
        <v>711.6</v>
      </c>
      <c r="AA472" s="83"/>
      <c r="AB472" s="83">
        <v>398</v>
      </c>
      <c r="AC472" s="83"/>
      <c r="AD472" s="83"/>
      <c r="AE472" s="83"/>
      <c r="AF472" s="83"/>
      <c r="AG472" s="83"/>
    </row>
    <row r="473" spans="1:33" s="5" customFormat="1" ht="73.5" customHeight="1">
      <c r="A473" s="23" t="s">
        <v>1322</v>
      </c>
      <c r="B473" s="22" t="s">
        <v>1473</v>
      </c>
      <c r="C473" s="23" t="s">
        <v>176</v>
      </c>
      <c r="D473" s="23" t="s">
        <v>73</v>
      </c>
      <c r="E473" s="23" t="s">
        <v>1420</v>
      </c>
      <c r="F473" s="23"/>
      <c r="G473" s="58">
        <f aca="true" t="shared" si="99" ref="G473:I474">G474</f>
        <v>0</v>
      </c>
      <c r="H473" s="58">
        <f t="shared" si="99"/>
        <v>120.4</v>
      </c>
      <c r="I473" s="58">
        <f t="shared" si="99"/>
        <v>120.4</v>
      </c>
      <c r="J473" s="77">
        <f t="shared" si="90"/>
        <v>100</v>
      </c>
      <c r="K473" s="47"/>
      <c r="L473" s="48"/>
      <c r="M473" s="86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43"/>
      <c r="AC473" s="43"/>
      <c r="AD473" s="83"/>
      <c r="AE473" s="83"/>
      <c r="AF473" s="83"/>
      <c r="AG473" s="83"/>
    </row>
    <row r="474" spans="1:33" s="5" customFormat="1" ht="43.5" customHeight="1">
      <c r="A474" s="23" t="s">
        <v>1323</v>
      </c>
      <c r="B474" s="22" t="s">
        <v>270</v>
      </c>
      <c r="C474" s="23" t="s">
        <v>176</v>
      </c>
      <c r="D474" s="23" t="s">
        <v>73</v>
      </c>
      <c r="E474" s="23" t="s">
        <v>1420</v>
      </c>
      <c r="F474" s="23" t="s">
        <v>163</v>
      </c>
      <c r="G474" s="58">
        <f t="shared" si="99"/>
        <v>0</v>
      </c>
      <c r="H474" s="58">
        <f t="shared" si="99"/>
        <v>120.4</v>
      </c>
      <c r="I474" s="58">
        <f t="shared" si="99"/>
        <v>120.4</v>
      </c>
      <c r="J474" s="77">
        <f t="shared" si="90"/>
        <v>100</v>
      </c>
      <c r="K474" s="47"/>
      <c r="L474" s="48"/>
      <c r="M474" s="86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43"/>
      <c r="AC474" s="43"/>
      <c r="AD474" s="83"/>
      <c r="AE474" s="83"/>
      <c r="AF474" s="83"/>
      <c r="AG474" s="83"/>
    </row>
    <row r="475" spans="1:33" s="5" customFormat="1" ht="24" customHeight="1">
      <c r="A475" s="23" t="s">
        <v>1324</v>
      </c>
      <c r="B475" s="22" t="s">
        <v>165</v>
      </c>
      <c r="C475" s="23" t="s">
        <v>176</v>
      </c>
      <c r="D475" s="23" t="s">
        <v>73</v>
      </c>
      <c r="E475" s="23" t="s">
        <v>1420</v>
      </c>
      <c r="F475" s="23" t="s">
        <v>164</v>
      </c>
      <c r="G475" s="58">
        <v>0</v>
      </c>
      <c r="H475" s="58">
        <v>120.4</v>
      </c>
      <c r="I475" s="58">
        <v>120.4</v>
      </c>
      <c r="J475" s="77">
        <f t="shared" si="90"/>
        <v>100</v>
      </c>
      <c r="K475" s="47"/>
      <c r="L475" s="48"/>
      <c r="M475" s="86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43"/>
      <c r="AC475" s="43"/>
      <c r="AD475" s="83"/>
      <c r="AE475" s="83"/>
      <c r="AF475" s="83"/>
      <c r="AG475" s="83"/>
    </row>
    <row r="476" spans="1:33" s="5" customFormat="1" ht="37.5" customHeight="1">
      <c r="A476" s="23" t="s">
        <v>1325</v>
      </c>
      <c r="B476" s="22" t="s">
        <v>82</v>
      </c>
      <c r="C476" s="23" t="s">
        <v>176</v>
      </c>
      <c r="D476" s="23" t="s">
        <v>73</v>
      </c>
      <c r="E476" s="23" t="s">
        <v>353</v>
      </c>
      <c r="F476" s="31"/>
      <c r="G476" s="58">
        <f>G495+G498+G477+G492+G483+G489+G486+G480</f>
        <v>50409.100000000006</v>
      </c>
      <c r="H476" s="58">
        <f>H495+H498+H477+H492+H483+H489+H486+H480</f>
        <v>52579.50000000001</v>
      </c>
      <c r="I476" s="58">
        <f>I495+I498+I477+I492+I483+I489+I486+I480</f>
        <v>52579.50000000001</v>
      </c>
      <c r="J476" s="77">
        <f t="shared" si="90"/>
        <v>100</v>
      </c>
      <c r="K476" s="47"/>
      <c r="L476" s="48"/>
      <c r="M476" s="86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>
        <f>-37.1+100+1231.5</f>
        <v>1294.4</v>
      </c>
      <c r="Y476" s="83"/>
      <c r="Z476" s="83"/>
      <c r="AA476" s="83"/>
      <c r="AB476" s="83"/>
      <c r="AC476" s="83"/>
      <c r="AD476" s="83"/>
      <c r="AE476" s="83"/>
      <c r="AF476" s="83"/>
      <c r="AG476" s="83"/>
    </row>
    <row r="477" spans="1:33" s="5" customFormat="1" ht="70.5" customHeight="1">
      <c r="A477" s="23" t="s">
        <v>1326</v>
      </c>
      <c r="B477" s="22" t="s">
        <v>772</v>
      </c>
      <c r="C477" s="23" t="s">
        <v>176</v>
      </c>
      <c r="D477" s="23" t="s">
        <v>73</v>
      </c>
      <c r="E477" s="23" t="s">
        <v>773</v>
      </c>
      <c r="F477" s="23"/>
      <c r="G477" s="58">
        <f aca="true" t="shared" si="100" ref="G477:I478">G478</f>
        <v>48669.3</v>
      </c>
      <c r="H477" s="58">
        <f t="shared" si="100"/>
        <v>49019.3</v>
      </c>
      <c r="I477" s="58">
        <f t="shared" si="100"/>
        <v>49019.3</v>
      </c>
      <c r="J477" s="77">
        <f t="shared" si="90"/>
        <v>100</v>
      </c>
      <c r="K477" s="47"/>
      <c r="L477" s="48"/>
      <c r="M477" s="86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</row>
    <row r="478" spans="1:33" s="5" customFormat="1" ht="30" customHeight="1">
      <c r="A478" s="23" t="s">
        <v>1327</v>
      </c>
      <c r="B478" s="22" t="s">
        <v>270</v>
      </c>
      <c r="C478" s="23" t="s">
        <v>176</v>
      </c>
      <c r="D478" s="23" t="s">
        <v>73</v>
      </c>
      <c r="E478" s="23" t="s">
        <v>773</v>
      </c>
      <c r="F478" s="23" t="s">
        <v>163</v>
      </c>
      <c r="G478" s="58">
        <f t="shared" si="100"/>
        <v>48669.3</v>
      </c>
      <c r="H478" s="58">
        <f t="shared" si="100"/>
        <v>49019.3</v>
      </c>
      <c r="I478" s="58">
        <f t="shared" si="100"/>
        <v>49019.3</v>
      </c>
      <c r="J478" s="77">
        <f t="shared" si="90"/>
        <v>100</v>
      </c>
      <c r="K478" s="47"/>
      <c r="L478" s="48"/>
      <c r="M478" s="86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</row>
    <row r="479" spans="1:33" s="5" customFormat="1" ht="21.75" customHeight="1">
      <c r="A479" s="23" t="s">
        <v>1087</v>
      </c>
      <c r="B479" s="22" t="s">
        <v>165</v>
      </c>
      <c r="C479" s="23" t="s">
        <v>176</v>
      </c>
      <c r="D479" s="23" t="s">
        <v>73</v>
      </c>
      <c r="E479" s="23" t="s">
        <v>773</v>
      </c>
      <c r="F479" s="23" t="s">
        <v>164</v>
      </c>
      <c r="G479" s="58">
        <v>48669.3</v>
      </c>
      <c r="H479" s="58">
        <f>48669.3+350</f>
        <v>49019.3</v>
      </c>
      <c r="I479" s="58">
        <v>49019.3</v>
      </c>
      <c r="J479" s="77">
        <f t="shared" si="90"/>
        <v>100</v>
      </c>
      <c r="K479" s="47"/>
      <c r="L479" s="48"/>
      <c r="M479" s="86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>
        <v>-61.1</v>
      </c>
      <c r="Y479" s="83"/>
      <c r="Z479" s="83">
        <v>40703.8</v>
      </c>
      <c r="AA479" s="83"/>
      <c r="AB479" s="43">
        <v>48669.3</v>
      </c>
      <c r="AC479" s="43"/>
      <c r="AD479" s="83"/>
      <c r="AE479" s="83"/>
      <c r="AF479" s="83"/>
      <c r="AG479" s="83"/>
    </row>
    <row r="480" spans="1:33" s="5" customFormat="1" ht="80.25" customHeight="1">
      <c r="A480" s="23" t="s">
        <v>1088</v>
      </c>
      <c r="B480" s="124" t="s">
        <v>1486</v>
      </c>
      <c r="C480" s="23" t="s">
        <v>176</v>
      </c>
      <c r="D480" s="23" t="s">
        <v>73</v>
      </c>
      <c r="E480" s="23" t="s">
        <v>1487</v>
      </c>
      <c r="F480" s="23"/>
      <c r="G480" s="58">
        <f aca="true" t="shared" si="101" ref="G480:I481">G481</f>
        <v>0</v>
      </c>
      <c r="H480" s="58">
        <f t="shared" si="101"/>
        <v>1320.4</v>
      </c>
      <c r="I480" s="58">
        <f t="shared" si="101"/>
        <v>1320.4</v>
      </c>
      <c r="J480" s="77">
        <f t="shared" si="90"/>
        <v>100</v>
      </c>
      <c r="K480" s="47"/>
      <c r="L480" s="48"/>
      <c r="M480" s="86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43"/>
      <c r="AC480" s="43"/>
      <c r="AD480" s="83"/>
      <c r="AE480" s="83"/>
      <c r="AF480" s="83"/>
      <c r="AG480" s="83"/>
    </row>
    <row r="481" spans="1:33" s="5" customFormat="1" ht="21.75" customHeight="1">
      <c r="A481" s="23" t="s">
        <v>1089</v>
      </c>
      <c r="B481" s="22" t="s">
        <v>270</v>
      </c>
      <c r="C481" s="23" t="s">
        <v>176</v>
      </c>
      <c r="D481" s="23" t="s">
        <v>73</v>
      </c>
      <c r="E481" s="23" t="s">
        <v>1487</v>
      </c>
      <c r="F481" s="23" t="s">
        <v>163</v>
      </c>
      <c r="G481" s="58">
        <f t="shared" si="101"/>
        <v>0</v>
      </c>
      <c r="H481" s="58">
        <f t="shared" si="101"/>
        <v>1320.4</v>
      </c>
      <c r="I481" s="58">
        <f t="shared" si="101"/>
        <v>1320.4</v>
      </c>
      <c r="J481" s="77">
        <f t="shared" si="90"/>
        <v>100</v>
      </c>
      <c r="K481" s="47"/>
      <c r="L481" s="48"/>
      <c r="M481" s="86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43"/>
      <c r="AC481" s="43"/>
      <c r="AD481" s="83"/>
      <c r="AE481" s="83"/>
      <c r="AF481" s="83"/>
      <c r="AG481" s="83"/>
    </row>
    <row r="482" spans="1:33" s="5" customFormat="1" ht="21.75" customHeight="1">
      <c r="A482" s="23" t="s">
        <v>1090</v>
      </c>
      <c r="B482" s="22" t="s">
        <v>165</v>
      </c>
      <c r="C482" s="23" t="s">
        <v>176</v>
      </c>
      <c r="D482" s="23" t="s">
        <v>73</v>
      </c>
      <c r="E482" s="23" t="s">
        <v>1487</v>
      </c>
      <c r="F482" s="23" t="s">
        <v>164</v>
      </c>
      <c r="G482" s="58">
        <v>0</v>
      </c>
      <c r="H482" s="58">
        <v>1320.4</v>
      </c>
      <c r="I482" s="58">
        <v>1320.4</v>
      </c>
      <c r="J482" s="77">
        <f t="shared" si="90"/>
        <v>100</v>
      </c>
      <c r="K482" s="47"/>
      <c r="L482" s="48"/>
      <c r="M482" s="86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43"/>
      <c r="AC482" s="43"/>
      <c r="AD482" s="83"/>
      <c r="AE482" s="83"/>
      <c r="AF482" s="83"/>
      <c r="AG482" s="83"/>
    </row>
    <row r="483" spans="1:33" s="5" customFormat="1" ht="98.25" customHeight="1">
      <c r="A483" s="23" t="s">
        <v>1091</v>
      </c>
      <c r="B483" s="22" t="s">
        <v>503</v>
      </c>
      <c r="C483" s="23" t="s">
        <v>176</v>
      </c>
      <c r="D483" s="23" t="s">
        <v>73</v>
      </c>
      <c r="E483" s="23" t="s">
        <v>547</v>
      </c>
      <c r="F483" s="23"/>
      <c r="G483" s="58">
        <f aca="true" t="shared" si="102" ref="G483:I484">G484</f>
        <v>1614.8</v>
      </c>
      <c r="H483" s="58">
        <f t="shared" si="102"/>
        <v>1614.8</v>
      </c>
      <c r="I483" s="58">
        <f t="shared" si="102"/>
        <v>1614.8</v>
      </c>
      <c r="J483" s="77">
        <f t="shared" si="90"/>
        <v>100</v>
      </c>
      <c r="K483" s="47"/>
      <c r="L483" s="48"/>
      <c r="M483" s="86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</row>
    <row r="484" spans="1:33" s="5" customFormat="1" ht="33" customHeight="1">
      <c r="A484" s="23" t="s">
        <v>137</v>
      </c>
      <c r="B484" s="22" t="s">
        <v>270</v>
      </c>
      <c r="C484" s="23" t="s">
        <v>176</v>
      </c>
      <c r="D484" s="23" t="s">
        <v>73</v>
      </c>
      <c r="E484" s="23" t="s">
        <v>547</v>
      </c>
      <c r="F484" s="23" t="s">
        <v>163</v>
      </c>
      <c r="G484" s="58">
        <f t="shared" si="102"/>
        <v>1614.8</v>
      </c>
      <c r="H484" s="58">
        <f t="shared" si="102"/>
        <v>1614.8</v>
      </c>
      <c r="I484" s="58">
        <f t="shared" si="102"/>
        <v>1614.8</v>
      </c>
      <c r="J484" s="77">
        <f t="shared" si="90"/>
        <v>100</v>
      </c>
      <c r="K484" s="47"/>
      <c r="L484" s="48"/>
      <c r="M484" s="86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</row>
    <row r="485" spans="1:33" s="5" customFormat="1" ht="19.5" customHeight="1">
      <c r="A485" s="23" t="s">
        <v>138</v>
      </c>
      <c r="B485" s="22" t="s">
        <v>165</v>
      </c>
      <c r="C485" s="23" t="s">
        <v>176</v>
      </c>
      <c r="D485" s="23" t="s">
        <v>73</v>
      </c>
      <c r="E485" s="23" t="s">
        <v>547</v>
      </c>
      <c r="F485" s="23" t="s">
        <v>164</v>
      </c>
      <c r="G485" s="58">
        <v>1614.8</v>
      </c>
      <c r="H485" s="58">
        <v>1614.8</v>
      </c>
      <c r="I485" s="58">
        <v>1614.8</v>
      </c>
      <c r="J485" s="77">
        <f t="shared" si="90"/>
        <v>100</v>
      </c>
      <c r="K485" s="47"/>
      <c r="L485" s="48"/>
      <c r="M485" s="86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>
        <v>1173.3</v>
      </c>
      <c r="Z485" s="83">
        <v>1569.8</v>
      </c>
      <c r="AA485" s="83"/>
      <c r="AB485" s="43">
        <v>1614.8</v>
      </c>
      <c r="AC485" s="43"/>
      <c r="AD485" s="83"/>
      <c r="AE485" s="83"/>
      <c r="AF485" s="83"/>
      <c r="AG485" s="83"/>
    </row>
    <row r="486" spans="1:33" s="5" customFormat="1" ht="84.75" customHeight="1">
      <c r="A486" s="23" t="s">
        <v>523</v>
      </c>
      <c r="B486" s="22" t="s">
        <v>1427</v>
      </c>
      <c r="C486" s="23" t="s">
        <v>176</v>
      </c>
      <c r="D486" s="23" t="s">
        <v>73</v>
      </c>
      <c r="E486" s="23" t="s">
        <v>1463</v>
      </c>
      <c r="F486" s="23"/>
      <c r="G486" s="58">
        <f aca="true" t="shared" si="103" ref="G486:I487">G487</f>
        <v>0</v>
      </c>
      <c r="H486" s="58">
        <f t="shared" si="103"/>
        <v>500</v>
      </c>
      <c r="I486" s="58">
        <f t="shared" si="103"/>
        <v>500</v>
      </c>
      <c r="J486" s="77">
        <f t="shared" si="90"/>
        <v>100</v>
      </c>
      <c r="K486" s="47"/>
      <c r="L486" s="48"/>
      <c r="M486" s="86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43"/>
      <c r="AC486" s="43"/>
      <c r="AD486" s="83"/>
      <c r="AE486" s="83"/>
      <c r="AF486" s="83"/>
      <c r="AG486" s="83"/>
    </row>
    <row r="487" spans="1:33" s="5" customFormat="1" ht="40.5" customHeight="1">
      <c r="A487" s="23" t="s">
        <v>1092</v>
      </c>
      <c r="B487" s="22" t="s">
        <v>270</v>
      </c>
      <c r="C487" s="23" t="s">
        <v>176</v>
      </c>
      <c r="D487" s="23" t="s">
        <v>73</v>
      </c>
      <c r="E487" s="23" t="s">
        <v>1463</v>
      </c>
      <c r="F487" s="23" t="s">
        <v>163</v>
      </c>
      <c r="G487" s="58">
        <f t="shared" si="103"/>
        <v>0</v>
      </c>
      <c r="H487" s="58">
        <f t="shared" si="103"/>
        <v>500</v>
      </c>
      <c r="I487" s="58">
        <f t="shared" si="103"/>
        <v>500</v>
      </c>
      <c r="J487" s="77">
        <f t="shared" si="90"/>
        <v>100</v>
      </c>
      <c r="K487" s="47"/>
      <c r="L487" s="48"/>
      <c r="M487" s="86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43"/>
      <c r="AC487" s="43"/>
      <c r="AD487" s="83"/>
      <c r="AE487" s="83"/>
      <c r="AF487" s="83"/>
      <c r="AG487" s="83"/>
    </row>
    <row r="488" spans="1:33" s="5" customFormat="1" ht="19.5" customHeight="1">
      <c r="A488" s="23" t="s">
        <v>1093</v>
      </c>
      <c r="B488" s="22" t="s">
        <v>165</v>
      </c>
      <c r="C488" s="23" t="s">
        <v>176</v>
      </c>
      <c r="D488" s="23" t="s">
        <v>73</v>
      </c>
      <c r="E488" s="23" t="s">
        <v>1463</v>
      </c>
      <c r="F488" s="23" t="s">
        <v>164</v>
      </c>
      <c r="G488" s="58">
        <v>0</v>
      </c>
      <c r="H488" s="58">
        <v>500</v>
      </c>
      <c r="I488" s="58">
        <v>500</v>
      </c>
      <c r="J488" s="77">
        <f t="shared" si="90"/>
        <v>100</v>
      </c>
      <c r="K488" s="47"/>
      <c r="L488" s="48"/>
      <c r="M488" s="86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43"/>
      <c r="AC488" s="43"/>
      <c r="AD488" s="83"/>
      <c r="AE488" s="83"/>
      <c r="AF488" s="83"/>
      <c r="AG488" s="83"/>
    </row>
    <row r="489" spans="1:33" s="3" customFormat="1" ht="70.5" customHeight="1">
      <c r="A489" s="23" t="s">
        <v>1094</v>
      </c>
      <c r="B489" s="22" t="s">
        <v>501</v>
      </c>
      <c r="C489" s="23" t="s">
        <v>176</v>
      </c>
      <c r="D489" s="23" t="s">
        <v>73</v>
      </c>
      <c r="E489" s="23" t="s">
        <v>768</v>
      </c>
      <c r="F489" s="23"/>
      <c r="G489" s="58">
        <f>G490</f>
        <v>25</v>
      </c>
      <c r="H489" s="58">
        <f>H490</f>
        <v>25</v>
      </c>
      <c r="I489" s="58">
        <f>I490</f>
        <v>25</v>
      </c>
      <c r="J489" s="77">
        <f t="shared" si="90"/>
        <v>100</v>
      </c>
      <c r="K489" s="49"/>
      <c r="L489" s="49">
        <v>15</v>
      </c>
      <c r="M489" s="72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  <c r="AB489" s="75"/>
      <c r="AC489" s="75"/>
      <c r="AD489" s="75"/>
      <c r="AE489" s="75"/>
      <c r="AF489" s="75"/>
      <c r="AG489" s="75"/>
    </row>
    <row r="490" spans="1:33" s="3" customFormat="1" ht="32.25" customHeight="1">
      <c r="A490" s="23" t="s">
        <v>1095</v>
      </c>
      <c r="B490" s="22" t="s">
        <v>144</v>
      </c>
      <c r="C490" s="23" t="s">
        <v>176</v>
      </c>
      <c r="D490" s="23" t="s">
        <v>73</v>
      </c>
      <c r="E490" s="23" t="s">
        <v>768</v>
      </c>
      <c r="F490" s="23" t="s">
        <v>109</v>
      </c>
      <c r="G490" s="58">
        <f aca="true" t="shared" si="104" ref="G490:I493">G491</f>
        <v>25</v>
      </c>
      <c r="H490" s="58">
        <f t="shared" si="104"/>
        <v>25</v>
      </c>
      <c r="I490" s="58">
        <f t="shared" si="104"/>
        <v>25</v>
      </c>
      <c r="J490" s="77">
        <f t="shared" si="90"/>
        <v>100</v>
      </c>
      <c r="K490" s="49"/>
      <c r="L490" s="50"/>
      <c r="M490" s="72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</row>
    <row r="491" spans="1:33" s="3" customFormat="1" ht="31.5" customHeight="1">
      <c r="A491" s="23" t="s">
        <v>1096</v>
      </c>
      <c r="B491" s="22" t="s">
        <v>145</v>
      </c>
      <c r="C491" s="23" t="s">
        <v>176</v>
      </c>
      <c r="D491" s="23" t="s">
        <v>73</v>
      </c>
      <c r="E491" s="23" t="s">
        <v>768</v>
      </c>
      <c r="F491" s="23" t="s">
        <v>102</v>
      </c>
      <c r="G491" s="58">
        <v>25</v>
      </c>
      <c r="H491" s="58">
        <v>25</v>
      </c>
      <c r="I491" s="58">
        <v>25</v>
      </c>
      <c r="J491" s="77">
        <f t="shared" si="90"/>
        <v>100</v>
      </c>
      <c r="K491" s="49"/>
      <c r="L491" s="50"/>
      <c r="M491" s="72"/>
      <c r="N491" s="75"/>
      <c r="O491" s="75"/>
      <c r="P491" s="75"/>
      <c r="Q491" s="75"/>
      <c r="R491" s="75"/>
      <c r="S491" s="75"/>
      <c r="T491" s="75"/>
      <c r="U491" s="75">
        <v>25</v>
      </c>
      <c r="V491" s="75"/>
      <c r="W491" s="75"/>
      <c r="X491" s="75"/>
      <c r="Y491" s="75"/>
      <c r="Z491" s="75">
        <v>25</v>
      </c>
      <c r="AA491" s="75"/>
      <c r="AB491" s="75">
        <v>25</v>
      </c>
      <c r="AC491" s="75"/>
      <c r="AD491" s="75"/>
      <c r="AE491" s="75"/>
      <c r="AF491" s="75"/>
      <c r="AG491" s="75"/>
    </row>
    <row r="492" spans="1:33" s="3" customFormat="1" ht="95.25" customHeight="1">
      <c r="A492" s="23" t="s">
        <v>1097</v>
      </c>
      <c r="B492" s="22" t="s">
        <v>502</v>
      </c>
      <c r="C492" s="23" t="s">
        <v>176</v>
      </c>
      <c r="D492" s="23" t="s">
        <v>73</v>
      </c>
      <c r="E492" s="23" t="s">
        <v>769</v>
      </c>
      <c r="F492" s="23"/>
      <c r="G492" s="58">
        <f t="shared" si="104"/>
        <v>25</v>
      </c>
      <c r="H492" s="58">
        <f t="shared" si="104"/>
        <v>25</v>
      </c>
      <c r="I492" s="58">
        <f t="shared" si="104"/>
        <v>25</v>
      </c>
      <c r="J492" s="77">
        <f t="shared" si="90"/>
        <v>100</v>
      </c>
      <c r="K492" s="49"/>
      <c r="L492" s="49">
        <v>10</v>
      </c>
      <c r="M492" s="72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  <c r="AB492" s="75"/>
      <c r="AC492" s="75"/>
      <c r="AD492" s="75"/>
      <c r="AE492" s="75"/>
      <c r="AF492" s="75"/>
      <c r="AG492" s="75"/>
    </row>
    <row r="493" spans="1:33" s="3" customFormat="1" ht="33" customHeight="1">
      <c r="A493" s="23" t="s">
        <v>1098</v>
      </c>
      <c r="B493" s="22" t="s">
        <v>144</v>
      </c>
      <c r="C493" s="23" t="s">
        <v>176</v>
      </c>
      <c r="D493" s="23" t="s">
        <v>73</v>
      </c>
      <c r="E493" s="23" t="s">
        <v>769</v>
      </c>
      <c r="F493" s="23" t="s">
        <v>109</v>
      </c>
      <c r="G493" s="58">
        <f t="shared" si="104"/>
        <v>25</v>
      </c>
      <c r="H493" s="58">
        <f t="shared" si="104"/>
        <v>25</v>
      </c>
      <c r="I493" s="58">
        <f t="shared" si="104"/>
        <v>25</v>
      </c>
      <c r="J493" s="77">
        <f t="shared" si="90"/>
        <v>100</v>
      </c>
      <c r="K493" s="49"/>
      <c r="L493" s="50"/>
      <c r="M493" s="72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  <c r="AB493" s="75"/>
      <c r="AC493" s="75"/>
      <c r="AD493" s="75"/>
      <c r="AE493" s="75"/>
      <c r="AF493" s="75"/>
      <c r="AG493" s="75"/>
    </row>
    <row r="494" spans="1:33" s="3" customFormat="1" ht="36.75" customHeight="1">
      <c r="A494" s="23" t="s">
        <v>1099</v>
      </c>
      <c r="B494" s="22" t="s">
        <v>145</v>
      </c>
      <c r="C494" s="23" t="s">
        <v>176</v>
      </c>
      <c r="D494" s="23" t="s">
        <v>73</v>
      </c>
      <c r="E494" s="23" t="s">
        <v>769</v>
      </c>
      <c r="F494" s="23" t="s">
        <v>102</v>
      </c>
      <c r="G494" s="58">
        <v>25</v>
      </c>
      <c r="H494" s="58">
        <v>25</v>
      </c>
      <c r="I494" s="58">
        <v>25</v>
      </c>
      <c r="J494" s="77">
        <f t="shared" si="90"/>
        <v>100</v>
      </c>
      <c r="K494" s="49"/>
      <c r="L494" s="50"/>
      <c r="M494" s="72"/>
      <c r="N494" s="75"/>
      <c r="O494" s="75"/>
      <c r="P494" s="75"/>
      <c r="Q494" s="75"/>
      <c r="R494" s="75"/>
      <c r="S494" s="75"/>
      <c r="T494" s="75"/>
      <c r="U494" s="75">
        <v>20</v>
      </c>
      <c r="V494" s="75"/>
      <c r="W494" s="75"/>
      <c r="X494" s="75"/>
      <c r="Y494" s="75"/>
      <c r="Z494" s="75">
        <v>25</v>
      </c>
      <c r="AA494" s="75"/>
      <c r="AB494" s="75">
        <v>25</v>
      </c>
      <c r="AC494" s="75"/>
      <c r="AD494" s="75"/>
      <c r="AE494" s="75"/>
      <c r="AF494" s="75"/>
      <c r="AG494" s="75"/>
    </row>
    <row r="495" spans="1:33" s="16" customFormat="1" ht="72.75" customHeight="1">
      <c r="A495" s="23" t="s">
        <v>1100</v>
      </c>
      <c r="B495" s="22" t="s">
        <v>481</v>
      </c>
      <c r="C495" s="23" t="s">
        <v>176</v>
      </c>
      <c r="D495" s="23" t="s">
        <v>73</v>
      </c>
      <c r="E495" s="23" t="s">
        <v>770</v>
      </c>
      <c r="F495" s="23"/>
      <c r="G495" s="58">
        <f aca="true" t="shared" si="105" ref="G495:I496">G496</f>
        <v>45</v>
      </c>
      <c r="H495" s="58">
        <f t="shared" si="105"/>
        <v>45</v>
      </c>
      <c r="I495" s="58">
        <f t="shared" si="105"/>
        <v>45</v>
      </c>
      <c r="J495" s="77">
        <f t="shared" si="90"/>
        <v>100</v>
      </c>
      <c r="K495" s="49"/>
      <c r="L495" s="49">
        <v>12</v>
      </c>
      <c r="M495" s="72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  <c r="AB495" s="75"/>
      <c r="AC495" s="75"/>
      <c r="AD495" s="75"/>
      <c r="AE495" s="75"/>
      <c r="AF495" s="75"/>
      <c r="AG495" s="75"/>
    </row>
    <row r="496" spans="1:33" s="17" customFormat="1" ht="31.5" customHeight="1">
      <c r="A496" s="23" t="s">
        <v>1101</v>
      </c>
      <c r="B496" s="22" t="s">
        <v>144</v>
      </c>
      <c r="C496" s="23" t="s">
        <v>176</v>
      </c>
      <c r="D496" s="23" t="s">
        <v>73</v>
      </c>
      <c r="E496" s="23" t="s">
        <v>770</v>
      </c>
      <c r="F496" s="23" t="s">
        <v>109</v>
      </c>
      <c r="G496" s="58">
        <f t="shared" si="105"/>
        <v>45</v>
      </c>
      <c r="H496" s="58">
        <f t="shared" si="105"/>
        <v>45</v>
      </c>
      <c r="I496" s="58">
        <f t="shared" si="105"/>
        <v>45</v>
      </c>
      <c r="J496" s="77">
        <f t="shared" si="90"/>
        <v>100</v>
      </c>
      <c r="K496" s="51"/>
      <c r="L496" s="46"/>
      <c r="M496" s="74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</row>
    <row r="497" spans="1:33" s="17" customFormat="1" ht="34.5" customHeight="1">
      <c r="A497" s="23" t="s">
        <v>1102</v>
      </c>
      <c r="B497" s="22" t="s">
        <v>145</v>
      </c>
      <c r="C497" s="23" t="s">
        <v>176</v>
      </c>
      <c r="D497" s="23" t="s">
        <v>73</v>
      </c>
      <c r="E497" s="23" t="s">
        <v>770</v>
      </c>
      <c r="F497" s="23" t="s">
        <v>102</v>
      </c>
      <c r="G497" s="58">
        <v>45</v>
      </c>
      <c r="H497" s="58">
        <v>45</v>
      </c>
      <c r="I497" s="58">
        <v>45</v>
      </c>
      <c r="J497" s="77">
        <f t="shared" si="90"/>
        <v>100</v>
      </c>
      <c r="K497" s="51"/>
      <c r="L497" s="46"/>
      <c r="M497" s="74"/>
      <c r="N497" s="65"/>
      <c r="O497" s="65"/>
      <c r="P497" s="65"/>
      <c r="Q497" s="65"/>
      <c r="R497" s="65"/>
      <c r="S497" s="65"/>
      <c r="T497" s="65"/>
      <c r="U497" s="43">
        <v>22</v>
      </c>
      <c r="V497" s="65"/>
      <c r="W497" s="65"/>
      <c r="X497" s="65"/>
      <c r="Y497" s="65"/>
      <c r="Z497" s="65">
        <v>45</v>
      </c>
      <c r="AA497" s="65"/>
      <c r="AB497" s="43">
        <v>45</v>
      </c>
      <c r="AC497" s="65"/>
      <c r="AD497" s="65"/>
      <c r="AE497" s="65"/>
      <c r="AF497" s="65"/>
      <c r="AG497" s="65"/>
    </row>
    <row r="498" spans="1:33" s="16" customFormat="1" ht="71.25" customHeight="1">
      <c r="A498" s="23" t="s">
        <v>1103</v>
      </c>
      <c r="B498" s="22" t="s">
        <v>500</v>
      </c>
      <c r="C498" s="23" t="s">
        <v>176</v>
      </c>
      <c r="D498" s="23" t="s">
        <v>73</v>
      </c>
      <c r="E498" s="23" t="s">
        <v>771</v>
      </c>
      <c r="F498" s="23"/>
      <c r="G498" s="58">
        <f aca="true" t="shared" si="106" ref="G498:I499">G499</f>
        <v>30</v>
      </c>
      <c r="H498" s="58">
        <f t="shared" si="106"/>
        <v>30</v>
      </c>
      <c r="I498" s="58">
        <f t="shared" si="106"/>
        <v>30</v>
      </c>
      <c r="J498" s="77">
        <f t="shared" si="90"/>
        <v>100</v>
      </c>
      <c r="K498" s="49"/>
      <c r="L498" s="50"/>
      <c r="M498" s="72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  <c r="AA498" s="75"/>
      <c r="AB498" s="75"/>
      <c r="AC498" s="75"/>
      <c r="AD498" s="75"/>
      <c r="AE498" s="75"/>
      <c r="AF498" s="75"/>
      <c r="AG498" s="75"/>
    </row>
    <row r="499" spans="1:33" s="16" customFormat="1" ht="35.25" customHeight="1">
      <c r="A499" s="23" t="s">
        <v>1104</v>
      </c>
      <c r="B499" s="22" t="s">
        <v>144</v>
      </c>
      <c r="C499" s="23" t="s">
        <v>176</v>
      </c>
      <c r="D499" s="23" t="s">
        <v>73</v>
      </c>
      <c r="E499" s="23" t="s">
        <v>771</v>
      </c>
      <c r="F499" s="23" t="s">
        <v>109</v>
      </c>
      <c r="G499" s="58">
        <f t="shared" si="106"/>
        <v>30</v>
      </c>
      <c r="H499" s="58">
        <f t="shared" si="106"/>
        <v>30</v>
      </c>
      <c r="I499" s="58">
        <f t="shared" si="106"/>
        <v>30</v>
      </c>
      <c r="J499" s="77">
        <f t="shared" si="90"/>
        <v>100</v>
      </c>
      <c r="K499" s="49"/>
      <c r="L499" s="50"/>
      <c r="M499" s="72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  <c r="AB499" s="75"/>
      <c r="AC499" s="75"/>
      <c r="AD499" s="75"/>
      <c r="AE499" s="75"/>
      <c r="AF499" s="75"/>
      <c r="AG499" s="75"/>
    </row>
    <row r="500" spans="1:33" s="16" customFormat="1" ht="36" customHeight="1">
      <c r="A500" s="23" t="s">
        <v>1105</v>
      </c>
      <c r="B500" s="22" t="s">
        <v>145</v>
      </c>
      <c r="C500" s="23" t="s">
        <v>176</v>
      </c>
      <c r="D500" s="23" t="s">
        <v>73</v>
      </c>
      <c r="E500" s="23" t="s">
        <v>771</v>
      </c>
      <c r="F500" s="23" t="s">
        <v>102</v>
      </c>
      <c r="G500" s="58">
        <v>30</v>
      </c>
      <c r="H500" s="58">
        <v>30</v>
      </c>
      <c r="I500" s="58">
        <v>30</v>
      </c>
      <c r="J500" s="77">
        <f t="shared" si="90"/>
        <v>100</v>
      </c>
      <c r="K500" s="49"/>
      <c r="L500" s="50"/>
      <c r="M500" s="72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>
        <v>30</v>
      </c>
      <c r="AA500" s="75"/>
      <c r="AB500" s="75">
        <v>30</v>
      </c>
      <c r="AC500" s="75"/>
      <c r="AD500" s="75"/>
      <c r="AE500" s="75"/>
      <c r="AF500" s="75"/>
      <c r="AG500" s="75"/>
    </row>
    <row r="501" spans="1:33" s="16" customFormat="1" ht="31.5" customHeight="1">
      <c r="A501" s="23" t="s">
        <v>1106</v>
      </c>
      <c r="B501" s="22" t="s">
        <v>204</v>
      </c>
      <c r="C501" s="23" t="s">
        <v>176</v>
      </c>
      <c r="D501" s="23" t="s">
        <v>73</v>
      </c>
      <c r="E501" s="23" t="s">
        <v>325</v>
      </c>
      <c r="F501" s="23"/>
      <c r="G501" s="58">
        <f>G505+G502+G508+G511+G514+G517</f>
        <v>517.8000000000001</v>
      </c>
      <c r="H501" s="58">
        <f>H505+H502+H508+H511+H514+H517</f>
        <v>668.7</v>
      </c>
      <c r="I501" s="58">
        <f>I505+I502+I508+I511+I514+I517</f>
        <v>668.7</v>
      </c>
      <c r="J501" s="77">
        <f t="shared" si="90"/>
        <v>100</v>
      </c>
      <c r="K501" s="49"/>
      <c r="L501" s="50"/>
      <c r="M501" s="72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>
        <v>500</v>
      </c>
      <c r="Z501" s="75"/>
      <c r="AA501" s="75"/>
      <c r="AB501" s="75"/>
      <c r="AC501" s="75"/>
      <c r="AD501" s="75"/>
      <c r="AE501" s="75"/>
      <c r="AF501" s="75"/>
      <c r="AG501" s="75"/>
    </row>
    <row r="502" spans="1:33" s="16" customFormat="1" ht="72.75" customHeight="1">
      <c r="A502" s="23" t="s">
        <v>1107</v>
      </c>
      <c r="B502" s="39" t="s">
        <v>566</v>
      </c>
      <c r="C502" s="23" t="s">
        <v>176</v>
      </c>
      <c r="D502" s="23" t="s">
        <v>73</v>
      </c>
      <c r="E502" s="23" t="s">
        <v>565</v>
      </c>
      <c r="F502" s="23"/>
      <c r="G502" s="58">
        <f aca="true" t="shared" si="107" ref="G502:I503">SUM(G503)</f>
        <v>100</v>
      </c>
      <c r="H502" s="58">
        <f t="shared" si="107"/>
        <v>70.3</v>
      </c>
      <c r="I502" s="58">
        <f t="shared" si="107"/>
        <v>70.3</v>
      </c>
      <c r="J502" s="77">
        <f t="shared" si="90"/>
        <v>100</v>
      </c>
      <c r="K502" s="49"/>
      <c r="L502" s="50"/>
      <c r="M502" s="72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  <c r="AA502" s="75"/>
      <c r="AB502" s="75"/>
      <c r="AC502" s="75"/>
      <c r="AD502" s="75"/>
      <c r="AE502" s="75"/>
      <c r="AF502" s="75"/>
      <c r="AG502" s="75"/>
    </row>
    <row r="503" spans="1:33" s="16" customFormat="1" ht="31.5" customHeight="1">
      <c r="A503" s="23" t="s">
        <v>1108</v>
      </c>
      <c r="B503" s="22" t="s">
        <v>270</v>
      </c>
      <c r="C503" s="23" t="s">
        <v>176</v>
      </c>
      <c r="D503" s="23" t="s">
        <v>73</v>
      </c>
      <c r="E503" s="23" t="s">
        <v>565</v>
      </c>
      <c r="F503" s="23" t="s">
        <v>163</v>
      </c>
      <c r="G503" s="58">
        <f t="shared" si="107"/>
        <v>100</v>
      </c>
      <c r="H503" s="58">
        <f t="shared" si="107"/>
        <v>70.3</v>
      </c>
      <c r="I503" s="58">
        <f t="shared" si="107"/>
        <v>70.3</v>
      </c>
      <c r="J503" s="77">
        <f t="shared" si="90"/>
        <v>100</v>
      </c>
      <c r="K503" s="49"/>
      <c r="L503" s="50"/>
      <c r="M503" s="72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  <c r="AA503" s="75"/>
      <c r="AB503" s="75"/>
      <c r="AC503" s="75"/>
      <c r="AD503" s="75"/>
      <c r="AE503" s="75"/>
      <c r="AF503" s="75"/>
      <c r="AG503" s="75"/>
    </row>
    <row r="504" spans="1:33" s="16" customFormat="1" ht="21.75" customHeight="1">
      <c r="A504" s="23" t="s">
        <v>1109</v>
      </c>
      <c r="B504" s="22" t="s">
        <v>165</v>
      </c>
      <c r="C504" s="23" t="s">
        <v>176</v>
      </c>
      <c r="D504" s="23" t="s">
        <v>73</v>
      </c>
      <c r="E504" s="23" t="s">
        <v>565</v>
      </c>
      <c r="F504" s="23" t="s">
        <v>164</v>
      </c>
      <c r="G504" s="58">
        <v>100</v>
      </c>
      <c r="H504" s="58">
        <v>70.3</v>
      </c>
      <c r="I504" s="58">
        <v>70.3</v>
      </c>
      <c r="J504" s="77">
        <f t="shared" si="90"/>
        <v>100</v>
      </c>
      <c r="K504" s="49"/>
      <c r="L504" s="50"/>
      <c r="M504" s="72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>
        <v>100</v>
      </c>
      <c r="Z504" s="75">
        <v>100</v>
      </c>
      <c r="AA504" s="75"/>
      <c r="AB504" s="75">
        <v>100</v>
      </c>
      <c r="AC504" s="75"/>
      <c r="AD504" s="75"/>
      <c r="AE504" s="75"/>
      <c r="AF504" s="75">
        <v>-29.6</v>
      </c>
      <c r="AG504" s="75"/>
    </row>
    <row r="505" spans="1:33" s="16" customFormat="1" ht="75" customHeight="1">
      <c r="A505" s="23" t="s">
        <v>1110</v>
      </c>
      <c r="B505" s="39" t="s">
        <v>560</v>
      </c>
      <c r="C505" s="23" t="s">
        <v>176</v>
      </c>
      <c r="D505" s="23" t="s">
        <v>73</v>
      </c>
      <c r="E505" s="23" t="s">
        <v>565</v>
      </c>
      <c r="F505" s="23"/>
      <c r="G505" s="58">
        <f aca="true" t="shared" si="108" ref="G505:I506">SUM(G506)</f>
        <v>211</v>
      </c>
      <c r="H505" s="58">
        <f t="shared" si="108"/>
        <v>211</v>
      </c>
      <c r="I505" s="58">
        <f t="shared" si="108"/>
        <v>211</v>
      </c>
      <c r="J505" s="77">
        <f t="shared" si="90"/>
        <v>100</v>
      </c>
      <c r="K505" s="49"/>
      <c r="L505" s="50"/>
      <c r="M505" s="72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  <c r="AB505" s="75"/>
      <c r="AC505" s="75"/>
      <c r="AD505" s="75"/>
      <c r="AE505" s="75"/>
      <c r="AF505" s="75"/>
      <c r="AG505" s="75"/>
    </row>
    <row r="506" spans="1:33" s="16" customFormat="1" ht="33" customHeight="1">
      <c r="A506" s="23" t="s">
        <v>1111</v>
      </c>
      <c r="B506" s="22" t="s">
        <v>270</v>
      </c>
      <c r="C506" s="23" t="s">
        <v>176</v>
      </c>
      <c r="D506" s="23" t="s">
        <v>73</v>
      </c>
      <c r="E506" s="23" t="s">
        <v>565</v>
      </c>
      <c r="F506" s="23" t="s">
        <v>163</v>
      </c>
      <c r="G506" s="58">
        <f t="shared" si="108"/>
        <v>211</v>
      </c>
      <c r="H506" s="58">
        <f t="shared" si="108"/>
        <v>211</v>
      </c>
      <c r="I506" s="58">
        <f t="shared" si="108"/>
        <v>211</v>
      </c>
      <c r="J506" s="77">
        <f t="shared" si="90"/>
        <v>100</v>
      </c>
      <c r="K506" s="49"/>
      <c r="L506" s="50"/>
      <c r="M506" s="72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  <c r="AB506" s="75"/>
      <c r="AC506" s="75"/>
      <c r="AD506" s="75"/>
      <c r="AE506" s="75"/>
      <c r="AF506" s="75"/>
      <c r="AG506" s="75"/>
    </row>
    <row r="507" spans="1:33" s="16" customFormat="1" ht="21.75" customHeight="1">
      <c r="A507" s="23" t="s">
        <v>1112</v>
      </c>
      <c r="B507" s="22" t="s">
        <v>165</v>
      </c>
      <c r="C507" s="23" t="s">
        <v>176</v>
      </c>
      <c r="D507" s="23" t="s">
        <v>73</v>
      </c>
      <c r="E507" s="23" t="s">
        <v>565</v>
      </c>
      <c r="F507" s="23" t="s">
        <v>164</v>
      </c>
      <c r="G507" s="58">
        <v>211</v>
      </c>
      <c r="H507" s="58">
        <v>211</v>
      </c>
      <c r="I507" s="58">
        <v>211</v>
      </c>
      <c r="J507" s="77">
        <f t="shared" si="90"/>
        <v>100</v>
      </c>
      <c r="K507" s="49"/>
      <c r="L507" s="50"/>
      <c r="M507" s="72"/>
      <c r="N507" s="75">
        <v>69.6</v>
      </c>
      <c r="O507" s="75"/>
      <c r="P507" s="75"/>
      <c r="Q507" s="75"/>
      <c r="R507" s="75"/>
      <c r="S507" s="75"/>
      <c r="T507" s="75"/>
      <c r="U507" s="75">
        <v>80</v>
      </c>
      <c r="V507" s="75"/>
      <c r="W507" s="75"/>
      <c r="X507" s="75"/>
      <c r="Y507" s="75"/>
      <c r="Z507" s="75"/>
      <c r="AA507" s="75">
        <v>210.7</v>
      </c>
      <c r="AB507" s="75"/>
      <c r="AC507" s="75">
        <v>211</v>
      </c>
      <c r="AD507" s="75"/>
      <c r="AE507" s="75"/>
      <c r="AF507" s="75"/>
      <c r="AG507" s="75"/>
    </row>
    <row r="508" spans="1:33" s="16" customFormat="1" ht="77.25" customHeight="1">
      <c r="A508" s="23" t="s">
        <v>147</v>
      </c>
      <c r="B508" s="102" t="s">
        <v>1317</v>
      </c>
      <c r="C508" s="23" t="s">
        <v>176</v>
      </c>
      <c r="D508" s="23" t="s">
        <v>73</v>
      </c>
      <c r="E508" s="23" t="s">
        <v>1349</v>
      </c>
      <c r="F508" s="23"/>
      <c r="G508" s="58">
        <f aca="true" t="shared" si="109" ref="G508:I512">SUM(G509)</f>
        <v>203.7</v>
      </c>
      <c r="H508" s="58">
        <f t="shared" si="109"/>
        <v>183.6</v>
      </c>
      <c r="I508" s="58">
        <f t="shared" si="109"/>
        <v>183.6</v>
      </c>
      <c r="J508" s="77">
        <f t="shared" si="90"/>
        <v>100</v>
      </c>
      <c r="K508" s="49"/>
      <c r="L508" s="50"/>
      <c r="M508" s="72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  <c r="AB508" s="75"/>
      <c r="AC508" s="75"/>
      <c r="AD508" s="75"/>
      <c r="AE508" s="75"/>
      <c r="AF508" s="75"/>
      <c r="AG508" s="75"/>
    </row>
    <row r="509" spans="1:33" s="16" customFormat="1" ht="35.25" customHeight="1">
      <c r="A509" s="23" t="s">
        <v>1113</v>
      </c>
      <c r="B509" s="22" t="s">
        <v>270</v>
      </c>
      <c r="C509" s="23" t="s">
        <v>176</v>
      </c>
      <c r="D509" s="23" t="s">
        <v>73</v>
      </c>
      <c r="E509" s="23" t="s">
        <v>1349</v>
      </c>
      <c r="F509" s="23" t="s">
        <v>163</v>
      </c>
      <c r="G509" s="58">
        <f t="shared" si="109"/>
        <v>203.7</v>
      </c>
      <c r="H509" s="58">
        <f t="shared" si="109"/>
        <v>183.6</v>
      </c>
      <c r="I509" s="58">
        <f t="shared" si="109"/>
        <v>183.6</v>
      </c>
      <c r="J509" s="77">
        <f t="shared" si="90"/>
        <v>100</v>
      </c>
      <c r="K509" s="49"/>
      <c r="L509" s="50"/>
      <c r="M509" s="72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  <c r="AB509" s="75"/>
      <c r="AC509" s="75"/>
      <c r="AD509" s="75"/>
      <c r="AE509" s="75"/>
      <c r="AF509" s="75"/>
      <c r="AG509" s="75"/>
    </row>
    <row r="510" spans="1:33" s="16" customFormat="1" ht="21.75" customHeight="1">
      <c r="A510" s="23" t="s">
        <v>1114</v>
      </c>
      <c r="B510" s="22" t="s">
        <v>165</v>
      </c>
      <c r="C510" s="23" t="s">
        <v>176</v>
      </c>
      <c r="D510" s="23" t="s">
        <v>73</v>
      </c>
      <c r="E510" s="23" t="s">
        <v>1349</v>
      </c>
      <c r="F510" s="23" t="s">
        <v>164</v>
      </c>
      <c r="G510" s="58">
        <v>203.7</v>
      </c>
      <c r="H510" s="58">
        <f>203.7-203.7+183.6</f>
        <v>183.6</v>
      </c>
      <c r="I510" s="58">
        <v>183.6</v>
      </c>
      <c r="J510" s="77">
        <f t="shared" si="90"/>
        <v>100</v>
      </c>
      <c r="K510" s="49"/>
      <c r="L510" s="50"/>
      <c r="M510" s="72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  <c r="AB510" s="75"/>
      <c r="AC510" s="75">
        <v>203.7</v>
      </c>
      <c r="AD510" s="75">
        <f>-203.7+183.6</f>
        <v>-20.099999999999994</v>
      </c>
      <c r="AE510" s="75"/>
      <c r="AF510" s="75"/>
      <c r="AG510" s="75"/>
    </row>
    <row r="511" spans="1:33" s="16" customFormat="1" ht="79.5" customHeight="1">
      <c r="A511" s="23" t="s">
        <v>1115</v>
      </c>
      <c r="B511" s="102" t="s">
        <v>1316</v>
      </c>
      <c r="C511" s="23" t="s">
        <v>176</v>
      </c>
      <c r="D511" s="23" t="s">
        <v>73</v>
      </c>
      <c r="E511" s="23" t="s">
        <v>1349</v>
      </c>
      <c r="F511" s="23"/>
      <c r="G511" s="58">
        <f t="shared" si="109"/>
        <v>3.1</v>
      </c>
      <c r="H511" s="58">
        <f t="shared" si="109"/>
        <v>3.8</v>
      </c>
      <c r="I511" s="58">
        <f t="shared" si="109"/>
        <v>3.8</v>
      </c>
      <c r="J511" s="77">
        <f t="shared" si="90"/>
        <v>100</v>
      </c>
      <c r="K511" s="49"/>
      <c r="L511" s="50"/>
      <c r="M511" s="72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  <c r="AB511" s="75"/>
      <c r="AC511" s="75"/>
      <c r="AD511" s="75"/>
      <c r="AE511" s="75"/>
      <c r="AF511" s="75"/>
      <c r="AG511" s="75"/>
    </row>
    <row r="512" spans="1:33" s="16" customFormat="1" ht="33.75" customHeight="1">
      <c r="A512" s="23" t="s">
        <v>1116</v>
      </c>
      <c r="B512" s="22" t="s">
        <v>270</v>
      </c>
      <c r="C512" s="23" t="s">
        <v>176</v>
      </c>
      <c r="D512" s="23" t="s">
        <v>73</v>
      </c>
      <c r="E512" s="23" t="s">
        <v>1349</v>
      </c>
      <c r="F512" s="23" t="s">
        <v>163</v>
      </c>
      <c r="G512" s="58">
        <f t="shared" si="109"/>
        <v>3.1</v>
      </c>
      <c r="H512" s="58">
        <f t="shared" si="109"/>
        <v>3.8</v>
      </c>
      <c r="I512" s="58">
        <f t="shared" si="109"/>
        <v>3.8</v>
      </c>
      <c r="J512" s="77">
        <f t="shared" si="90"/>
        <v>100</v>
      </c>
      <c r="K512" s="49"/>
      <c r="L512" s="50"/>
      <c r="M512" s="72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  <c r="AB512" s="75"/>
      <c r="AC512" s="75"/>
      <c r="AD512" s="75"/>
      <c r="AE512" s="75"/>
      <c r="AF512" s="75"/>
      <c r="AG512" s="75"/>
    </row>
    <row r="513" spans="1:33" s="16" customFormat="1" ht="21.75" customHeight="1">
      <c r="A513" s="23" t="s">
        <v>1117</v>
      </c>
      <c r="B513" s="22" t="s">
        <v>165</v>
      </c>
      <c r="C513" s="23" t="s">
        <v>176</v>
      </c>
      <c r="D513" s="23" t="s">
        <v>73</v>
      </c>
      <c r="E513" s="23" t="s">
        <v>1349</v>
      </c>
      <c r="F513" s="23" t="s">
        <v>164</v>
      </c>
      <c r="G513" s="58">
        <v>3.1</v>
      </c>
      <c r="H513" s="58">
        <f>2.1+1+0.7</f>
        <v>3.8</v>
      </c>
      <c r="I513" s="58">
        <v>3.8</v>
      </c>
      <c r="J513" s="77">
        <f aca="true" t="shared" si="110" ref="J513:J574">I513/H513*100</f>
        <v>100</v>
      </c>
      <c r="K513" s="49"/>
      <c r="L513" s="50"/>
      <c r="M513" s="72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  <c r="AB513" s="75">
        <v>3.1</v>
      </c>
      <c r="AC513" s="75"/>
      <c r="AD513" s="75"/>
      <c r="AE513" s="75">
        <v>0.7</v>
      </c>
      <c r="AF513" s="75"/>
      <c r="AG513" s="75"/>
    </row>
    <row r="514" spans="1:33" s="16" customFormat="1" ht="88.5" customHeight="1">
      <c r="A514" s="23" t="s">
        <v>843</v>
      </c>
      <c r="B514" s="22" t="s">
        <v>1315</v>
      </c>
      <c r="C514" s="23" t="s">
        <v>176</v>
      </c>
      <c r="D514" s="23" t="s">
        <v>73</v>
      </c>
      <c r="E514" s="23" t="s">
        <v>1206</v>
      </c>
      <c r="F514" s="23"/>
      <c r="G514" s="58">
        <f aca="true" t="shared" si="111" ref="G514:I515">SUM(G515)</f>
        <v>0</v>
      </c>
      <c r="H514" s="58">
        <f t="shared" si="111"/>
        <v>100</v>
      </c>
      <c r="I514" s="58">
        <f t="shared" si="111"/>
        <v>100</v>
      </c>
      <c r="J514" s="77">
        <f t="shared" si="110"/>
        <v>100</v>
      </c>
      <c r="K514" s="49"/>
      <c r="L514" s="50"/>
      <c r="M514" s="72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  <c r="AB514" s="75"/>
      <c r="AC514" s="75"/>
      <c r="AD514" s="75"/>
      <c r="AE514" s="75"/>
      <c r="AF514" s="75"/>
      <c r="AG514" s="75"/>
    </row>
    <row r="515" spans="1:33" s="16" customFormat="1" ht="45.75" customHeight="1">
      <c r="A515" s="23" t="s">
        <v>447</v>
      </c>
      <c r="B515" s="22" t="s">
        <v>270</v>
      </c>
      <c r="C515" s="23" t="s">
        <v>176</v>
      </c>
      <c r="D515" s="23" t="s">
        <v>73</v>
      </c>
      <c r="E515" s="23" t="s">
        <v>1206</v>
      </c>
      <c r="F515" s="23" t="s">
        <v>163</v>
      </c>
      <c r="G515" s="58">
        <f t="shared" si="111"/>
        <v>0</v>
      </c>
      <c r="H515" s="58">
        <f t="shared" si="111"/>
        <v>100</v>
      </c>
      <c r="I515" s="58">
        <f t="shared" si="111"/>
        <v>100</v>
      </c>
      <c r="J515" s="77">
        <f t="shared" si="110"/>
        <v>100</v>
      </c>
      <c r="K515" s="49"/>
      <c r="L515" s="50"/>
      <c r="M515" s="72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  <c r="AC515" s="75"/>
      <c r="AD515" s="75"/>
      <c r="AE515" s="75"/>
      <c r="AF515" s="75"/>
      <c r="AG515" s="75"/>
    </row>
    <row r="516" spans="1:33" s="16" customFormat="1" ht="21.75" customHeight="1">
      <c r="A516" s="23" t="s">
        <v>467</v>
      </c>
      <c r="B516" s="22" t="s">
        <v>165</v>
      </c>
      <c r="C516" s="23" t="s">
        <v>176</v>
      </c>
      <c r="D516" s="23" t="s">
        <v>73</v>
      </c>
      <c r="E516" s="23" t="s">
        <v>1206</v>
      </c>
      <c r="F516" s="23" t="s">
        <v>164</v>
      </c>
      <c r="G516" s="58">
        <v>0</v>
      </c>
      <c r="H516" s="58">
        <v>100</v>
      </c>
      <c r="I516" s="58">
        <v>100</v>
      </c>
      <c r="J516" s="77">
        <f t="shared" si="110"/>
        <v>100</v>
      </c>
      <c r="K516" s="49"/>
      <c r="L516" s="50"/>
      <c r="M516" s="72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  <c r="AB516" s="75"/>
      <c r="AC516" s="75"/>
      <c r="AD516" s="75">
        <v>100</v>
      </c>
      <c r="AE516" s="75"/>
      <c r="AF516" s="75"/>
      <c r="AG516" s="75"/>
    </row>
    <row r="517" spans="1:33" s="16" customFormat="1" ht="90" customHeight="1">
      <c r="A517" s="23" t="s">
        <v>1118</v>
      </c>
      <c r="B517" s="39" t="s">
        <v>1207</v>
      </c>
      <c r="C517" s="23" t="s">
        <v>176</v>
      </c>
      <c r="D517" s="23" t="s">
        <v>73</v>
      </c>
      <c r="E517" s="23" t="s">
        <v>1208</v>
      </c>
      <c r="F517" s="23"/>
      <c r="G517" s="58">
        <f aca="true" t="shared" si="112" ref="G517:I518">SUM(G518)</f>
        <v>0</v>
      </c>
      <c r="H517" s="58">
        <f t="shared" si="112"/>
        <v>100</v>
      </c>
      <c r="I517" s="58">
        <f t="shared" si="112"/>
        <v>100</v>
      </c>
      <c r="J517" s="77">
        <f t="shared" si="110"/>
        <v>100</v>
      </c>
      <c r="K517" s="49"/>
      <c r="L517" s="50"/>
      <c r="M517" s="72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  <c r="AB517" s="75"/>
      <c r="AC517" s="75"/>
      <c r="AD517" s="75"/>
      <c r="AE517" s="75"/>
      <c r="AF517" s="75"/>
      <c r="AG517" s="75"/>
    </row>
    <row r="518" spans="1:33" s="16" customFormat="1" ht="46.5" customHeight="1">
      <c r="A518" s="23" t="s">
        <v>171</v>
      </c>
      <c r="B518" s="22" t="s">
        <v>270</v>
      </c>
      <c r="C518" s="23" t="s">
        <v>176</v>
      </c>
      <c r="D518" s="23" t="s">
        <v>73</v>
      </c>
      <c r="E518" s="23" t="s">
        <v>1208</v>
      </c>
      <c r="F518" s="23" t="s">
        <v>163</v>
      </c>
      <c r="G518" s="58">
        <f t="shared" si="112"/>
        <v>0</v>
      </c>
      <c r="H518" s="58">
        <f t="shared" si="112"/>
        <v>100</v>
      </c>
      <c r="I518" s="58">
        <f t="shared" si="112"/>
        <v>100</v>
      </c>
      <c r="J518" s="77">
        <f t="shared" si="110"/>
        <v>100</v>
      </c>
      <c r="K518" s="49"/>
      <c r="L518" s="50"/>
      <c r="M518" s="72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  <c r="AB518" s="75"/>
      <c r="AC518" s="75"/>
      <c r="AD518" s="75"/>
      <c r="AE518" s="75"/>
      <c r="AF518" s="75"/>
      <c r="AG518" s="75"/>
    </row>
    <row r="519" spans="1:33" s="16" customFormat="1" ht="21.75" customHeight="1">
      <c r="A519" s="23" t="s">
        <v>1119</v>
      </c>
      <c r="B519" s="22" t="s">
        <v>165</v>
      </c>
      <c r="C519" s="117" t="s">
        <v>176</v>
      </c>
      <c r="D519" s="23" t="s">
        <v>73</v>
      </c>
      <c r="E519" s="23" t="s">
        <v>1208</v>
      </c>
      <c r="F519" s="23" t="s">
        <v>164</v>
      </c>
      <c r="G519" s="58">
        <v>0</v>
      </c>
      <c r="H519" s="58">
        <v>100</v>
      </c>
      <c r="I519" s="58">
        <v>100</v>
      </c>
      <c r="J519" s="77">
        <f t="shared" si="110"/>
        <v>100</v>
      </c>
      <c r="K519" s="49"/>
      <c r="L519" s="50"/>
      <c r="M519" s="72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  <c r="AB519" s="75"/>
      <c r="AC519" s="75"/>
      <c r="AD519" s="75">
        <v>100</v>
      </c>
      <c r="AE519" s="75"/>
      <c r="AF519" s="75"/>
      <c r="AG519" s="75"/>
    </row>
    <row r="520" spans="1:33" s="16" customFormat="1" ht="21" customHeight="1">
      <c r="A520" s="23" t="s">
        <v>912</v>
      </c>
      <c r="B520" s="38" t="s">
        <v>556</v>
      </c>
      <c r="C520" s="36" t="s">
        <v>176</v>
      </c>
      <c r="D520" s="36" t="s">
        <v>557</v>
      </c>
      <c r="E520" s="36"/>
      <c r="F520" s="36"/>
      <c r="G520" s="80">
        <f aca="true" t="shared" si="113" ref="G520:I521">SUM(G521)</f>
        <v>2433.9</v>
      </c>
      <c r="H520" s="80">
        <f t="shared" si="113"/>
        <v>2388.9</v>
      </c>
      <c r="I520" s="80">
        <f t="shared" si="113"/>
        <v>2388.9</v>
      </c>
      <c r="J520" s="77">
        <f t="shared" si="110"/>
        <v>100</v>
      </c>
      <c r="K520" s="49"/>
      <c r="L520" s="50"/>
      <c r="M520" s="72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5"/>
      <c r="AB520" s="75"/>
      <c r="AC520" s="75"/>
      <c r="AD520" s="75"/>
      <c r="AE520" s="75"/>
      <c r="AF520" s="75"/>
      <c r="AG520" s="75"/>
    </row>
    <row r="521" spans="1:33" s="16" customFormat="1" ht="33" customHeight="1">
      <c r="A521" s="23" t="s">
        <v>913</v>
      </c>
      <c r="B521" s="24" t="s">
        <v>296</v>
      </c>
      <c r="C521" s="23" t="s">
        <v>176</v>
      </c>
      <c r="D521" s="23" t="s">
        <v>557</v>
      </c>
      <c r="E521" s="23" t="s">
        <v>326</v>
      </c>
      <c r="F521" s="36"/>
      <c r="G521" s="58">
        <f t="shared" si="113"/>
        <v>2433.9</v>
      </c>
      <c r="H521" s="58">
        <f t="shared" si="113"/>
        <v>2388.9</v>
      </c>
      <c r="I521" s="58">
        <f t="shared" si="113"/>
        <v>2388.9</v>
      </c>
      <c r="J521" s="77">
        <f t="shared" si="110"/>
        <v>100</v>
      </c>
      <c r="K521" s="49"/>
      <c r="L521" s="50"/>
      <c r="M521" s="72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  <c r="AA521" s="75"/>
      <c r="AB521" s="75"/>
      <c r="AC521" s="75"/>
      <c r="AD521" s="75"/>
      <c r="AE521" s="75"/>
      <c r="AF521" s="75"/>
      <c r="AG521" s="75"/>
    </row>
    <row r="522" spans="1:33" s="16" customFormat="1" ht="33" customHeight="1">
      <c r="A522" s="23" t="s">
        <v>914</v>
      </c>
      <c r="B522" s="22" t="s">
        <v>204</v>
      </c>
      <c r="C522" s="23" t="s">
        <v>176</v>
      </c>
      <c r="D522" s="23" t="s">
        <v>557</v>
      </c>
      <c r="E522" s="23" t="s">
        <v>325</v>
      </c>
      <c r="F522" s="23"/>
      <c r="G522" s="58">
        <f>SUM(G529+G532+G523+G526)</f>
        <v>2433.9</v>
      </c>
      <c r="H522" s="58">
        <f>SUM(H529+H532+H523+H526)</f>
        <v>2388.9</v>
      </c>
      <c r="I522" s="58">
        <f>SUM(I529+I532+I523+I526)</f>
        <v>2388.9</v>
      </c>
      <c r="J522" s="77">
        <f t="shared" si="110"/>
        <v>100</v>
      </c>
      <c r="K522" s="49"/>
      <c r="L522" s="50"/>
      <c r="M522" s="72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  <c r="AA522" s="75"/>
      <c r="AB522" s="75"/>
      <c r="AC522" s="75"/>
      <c r="AD522" s="75"/>
      <c r="AE522" s="75"/>
      <c r="AF522" s="75"/>
      <c r="AG522" s="75"/>
    </row>
    <row r="523" spans="1:33" s="16" customFormat="1" ht="69.75" customHeight="1">
      <c r="A523" s="23" t="s">
        <v>915</v>
      </c>
      <c r="B523" s="22" t="s">
        <v>776</v>
      </c>
      <c r="C523" s="23" t="s">
        <v>176</v>
      </c>
      <c r="D523" s="23" t="s">
        <v>557</v>
      </c>
      <c r="E523" s="23" t="s">
        <v>759</v>
      </c>
      <c r="F523" s="23"/>
      <c r="G523" s="58">
        <f aca="true" t="shared" si="114" ref="G523:I524">SUM(G524)</f>
        <v>2323.9</v>
      </c>
      <c r="H523" s="58">
        <f t="shared" si="114"/>
        <v>2323.9</v>
      </c>
      <c r="I523" s="58">
        <f t="shared" si="114"/>
        <v>2323.9</v>
      </c>
      <c r="J523" s="77">
        <f t="shared" si="110"/>
        <v>100</v>
      </c>
      <c r="K523" s="49"/>
      <c r="L523" s="50"/>
      <c r="M523" s="72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  <c r="AA523" s="75"/>
      <c r="AB523" s="75"/>
      <c r="AC523" s="75"/>
      <c r="AD523" s="75"/>
      <c r="AE523" s="75"/>
      <c r="AF523" s="75"/>
      <c r="AG523" s="75"/>
    </row>
    <row r="524" spans="1:33" s="16" customFormat="1" ht="33.75" customHeight="1">
      <c r="A524" s="23" t="s">
        <v>708</v>
      </c>
      <c r="B524" s="22" t="s">
        <v>270</v>
      </c>
      <c r="C524" s="23" t="s">
        <v>176</v>
      </c>
      <c r="D524" s="23" t="s">
        <v>557</v>
      </c>
      <c r="E524" s="23" t="s">
        <v>759</v>
      </c>
      <c r="F524" s="23" t="s">
        <v>163</v>
      </c>
      <c r="G524" s="58">
        <f t="shared" si="114"/>
        <v>2323.9</v>
      </c>
      <c r="H524" s="58">
        <f t="shared" si="114"/>
        <v>2323.9</v>
      </c>
      <c r="I524" s="58">
        <f t="shared" si="114"/>
        <v>2323.9</v>
      </c>
      <c r="J524" s="77">
        <f t="shared" si="110"/>
        <v>100</v>
      </c>
      <c r="K524" s="49"/>
      <c r="L524" s="50"/>
      <c r="M524" s="72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  <c r="AB524" s="75"/>
      <c r="AC524" s="75"/>
      <c r="AD524" s="75"/>
      <c r="AE524" s="75"/>
      <c r="AF524" s="75"/>
      <c r="AG524" s="75"/>
    </row>
    <row r="525" spans="1:33" s="16" customFormat="1" ht="22.5" customHeight="1">
      <c r="A525" s="23" t="s">
        <v>709</v>
      </c>
      <c r="B525" s="22" t="s">
        <v>165</v>
      </c>
      <c r="C525" s="23" t="s">
        <v>176</v>
      </c>
      <c r="D525" s="23" t="s">
        <v>557</v>
      </c>
      <c r="E525" s="23" t="s">
        <v>759</v>
      </c>
      <c r="F525" s="23" t="s">
        <v>164</v>
      </c>
      <c r="G525" s="58">
        <v>2323.9</v>
      </c>
      <c r="H525" s="58">
        <v>2323.9</v>
      </c>
      <c r="I525" s="58">
        <v>2323.9</v>
      </c>
      <c r="J525" s="77">
        <f t="shared" si="110"/>
        <v>100</v>
      </c>
      <c r="K525" s="49"/>
      <c r="L525" s="50"/>
      <c r="M525" s="72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>
        <v>100</v>
      </c>
      <c r="Z525" s="75">
        <v>2030.2</v>
      </c>
      <c r="AA525" s="75"/>
      <c r="AB525" s="75">
        <v>2323.9</v>
      </c>
      <c r="AC525" s="75"/>
      <c r="AD525" s="75"/>
      <c r="AE525" s="75"/>
      <c r="AF525" s="75"/>
      <c r="AG525" s="75"/>
    </row>
    <row r="526" spans="1:33" s="16" customFormat="1" ht="84" customHeight="1">
      <c r="A526" s="23" t="s">
        <v>710</v>
      </c>
      <c r="B526" s="22" t="s">
        <v>963</v>
      </c>
      <c r="C526" s="23" t="s">
        <v>176</v>
      </c>
      <c r="D526" s="23" t="s">
        <v>557</v>
      </c>
      <c r="E526" s="23" t="s">
        <v>959</v>
      </c>
      <c r="F526" s="23"/>
      <c r="G526" s="58">
        <f aca="true" t="shared" si="115" ref="G526:I527">SUM(G527)</f>
        <v>60</v>
      </c>
      <c r="H526" s="58">
        <f t="shared" si="115"/>
        <v>15</v>
      </c>
      <c r="I526" s="58">
        <f t="shared" si="115"/>
        <v>15</v>
      </c>
      <c r="J526" s="77">
        <f t="shared" si="110"/>
        <v>100</v>
      </c>
      <c r="K526" s="49"/>
      <c r="L526" s="50"/>
      <c r="M526" s="72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  <c r="AC526" s="75"/>
      <c r="AD526" s="75"/>
      <c r="AE526" s="75"/>
      <c r="AF526" s="75"/>
      <c r="AG526" s="75"/>
    </row>
    <row r="527" spans="1:33" s="16" customFormat="1" ht="41.25" customHeight="1">
      <c r="A527" s="23" t="s">
        <v>524</v>
      </c>
      <c r="B527" s="22" t="s">
        <v>144</v>
      </c>
      <c r="C527" s="23" t="s">
        <v>176</v>
      </c>
      <c r="D527" s="23" t="s">
        <v>557</v>
      </c>
      <c r="E527" s="23" t="s">
        <v>959</v>
      </c>
      <c r="F527" s="23" t="s">
        <v>109</v>
      </c>
      <c r="G527" s="58">
        <f t="shared" si="115"/>
        <v>60</v>
      </c>
      <c r="H527" s="58">
        <f t="shared" si="115"/>
        <v>15</v>
      </c>
      <c r="I527" s="58">
        <f t="shared" si="115"/>
        <v>15</v>
      </c>
      <c r="J527" s="77">
        <f t="shared" si="110"/>
        <v>100</v>
      </c>
      <c r="K527" s="49"/>
      <c r="L527" s="50"/>
      <c r="M527" s="72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  <c r="AC527" s="75"/>
      <c r="AD527" s="75"/>
      <c r="AE527" s="75"/>
      <c r="AF527" s="75"/>
      <c r="AG527" s="75"/>
    </row>
    <row r="528" spans="1:33" s="16" customFormat="1" ht="39.75" customHeight="1">
      <c r="A528" s="23" t="s">
        <v>84</v>
      </c>
      <c r="B528" s="22" t="s">
        <v>145</v>
      </c>
      <c r="C528" s="23" t="s">
        <v>176</v>
      </c>
      <c r="D528" s="23" t="s">
        <v>557</v>
      </c>
      <c r="E528" s="23" t="s">
        <v>959</v>
      </c>
      <c r="F528" s="23" t="s">
        <v>102</v>
      </c>
      <c r="G528" s="58">
        <v>60</v>
      </c>
      <c r="H528" s="58">
        <f>60-45</f>
        <v>15</v>
      </c>
      <c r="I528" s="58">
        <v>15</v>
      </c>
      <c r="J528" s="77">
        <f t="shared" si="110"/>
        <v>100</v>
      </c>
      <c r="K528" s="49"/>
      <c r="L528" s="50"/>
      <c r="M528" s="72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  <c r="AE528" s="75">
        <v>60</v>
      </c>
      <c r="AF528" s="75">
        <v>-45</v>
      </c>
      <c r="AG528" s="75"/>
    </row>
    <row r="529" spans="1:33" s="16" customFormat="1" ht="84.75" customHeight="1">
      <c r="A529" s="23" t="s">
        <v>477</v>
      </c>
      <c r="B529" s="22" t="s">
        <v>559</v>
      </c>
      <c r="C529" s="23" t="s">
        <v>176</v>
      </c>
      <c r="D529" s="23" t="s">
        <v>557</v>
      </c>
      <c r="E529" s="23" t="s">
        <v>774</v>
      </c>
      <c r="F529" s="23"/>
      <c r="G529" s="58">
        <f aca="true" t="shared" si="116" ref="G529:I530">SUM(G530)</f>
        <v>5</v>
      </c>
      <c r="H529" s="58">
        <f t="shared" si="116"/>
        <v>5</v>
      </c>
      <c r="I529" s="58">
        <f t="shared" si="116"/>
        <v>5</v>
      </c>
      <c r="J529" s="77">
        <f t="shared" si="110"/>
        <v>100</v>
      </c>
      <c r="K529" s="49"/>
      <c r="L529" s="50"/>
      <c r="M529" s="72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  <c r="AB529" s="75"/>
      <c r="AC529" s="75"/>
      <c r="AD529" s="75"/>
      <c r="AE529" s="75"/>
      <c r="AF529" s="75"/>
      <c r="AG529" s="75"/>
    </row>
    <row r="530" spans="1:33" s="16" customFormat="1" ht="30" customHeight="1">
      <c r="A530" s="23" t="s">
        <v>478</v>
      </c>
      <c r="B530" s="22" t="s">
        <v>144</v>
      </c>
      <c r="C530" s="23" t="s">
        <v>176</v>
      </c>
      <c r="D530" s="23" t="s">
        <v>557</v>
      </c>
      <c r="E530" s="23" t="s">
        <v>774</v>
      </c>
      <c r="F530" s="23" t="s">
        <v>109</v>
      </c>
      <c r="G530" s="58">
        <f t="shared" si="116"/>
        <v>5</v>
      </c>
      <c r="H530" s="58">
        <f t="shared" si="116"/>
        <v>5</v>
      </c>
      <c r="I530" s="58">
        <f t="shared" si="116"/>
        <v>5</v>
      </c>
      <c r="J530" s="77">
        <f t="shared" si="110"/>
        <v>100</v>
      </c>
      <c r="K530" s="49"/>
      <c r="L530" s="50"/>
      <c r="M530" s="72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75"/>
      <c r="AD530" s="75"/>
      <c r="AE530" s="75"/>
      <c r="AF530" s="75"/>
      <c r="AG530" s="75"/>
    </row>
    <row r="531" spans="1:33" s="16" customFormat="1" ht="42.75" customHeight="1">
      <c r="A531" s="23" t="s">
        <v>479</v>
      </c>
      <c r="B531" s="22" t="s">
        <v>145</v>
      </c>
      <c r="C531" s="23" t="s">
        <v>176</v>
      </c>
      <c r="D531" s="23" t="s">
        <v>557</v>
      </c>
      <c r="E531" s="23" t="s">
        <v>774</v>
      </c>
      <c r="F531" s="23" t="s">
        <v>102</v>
      </c>
      <c r="G531" s="58">
        <v>5</v>
      </c>
      <c r="H531" s="58">
        <v>5</v>
      </c>
      <c r="I531" s="58">
        <v>5</v>
      </c>
      <c r="J531" s="77">
        <f t="shared" si="110"/>
        <v>100</v>
      </c>
      <c r="K531" s="49"/>
      <c r="L531" s="50"/>
      <c r="M531" s="72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>
        <v>5</v>
      </c>
      <c r="AA531" s="75"/>
      <c r="AB531" s="75">
        <v>5</v>
      </c>
      <c r="AC531" s="75"/>
      <c r="AD531" s="75"/>
      <c r="AE531" s="75"/>
      <c r="AF531" s="75"/>
      <c r="AG531" s="75"/>
    </row>
    <row r="532" spans="1:33" s="16" customFormat="1" ht="76.5">
      <c r="A532" s="23" t="s">
        <v>139</v>
      </c>
      <c r="B532" s="22" t="s">
        <v>558</v>
      </c>
      <c r="C532" s="23" t="s">
        <v>176</v>
      </c>
      <c r="D532" s="23" t="s">
        <v>557</v>
      </c>
      <c r="E532" s="23" t="s">
        <v>775</v>
      </c>
      <c r="F532" s="75"/>
      <c r="G532" s="58">
        <f aca="true" t="shared" si="117" ref="G532:I533">SUM(G533)</f>
        <v>45</v>
      </c>
      <c r="H532" s="58">
        <f t="shared" si="117"/>
        <v>45</v>
      </c>
      <c r="I532" s="58">
        <f t="shared" si="117"/>
        <v>45</v>
      </c>
      <c r="J532" s="77">
        <f t="shared" si="110"/>
        <v>100</v>
      </c>
      <c r="K532" s="49"/>
      <c r="L532" s="50"/>
      <c r="M532" s="72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  <c r="AB532" s="75"/>
      <c r="AC532" s="75"/>
      <c r="AD532" s="75"/>
      <c r="AE532" s="75"/>
      <c r="AF532" s="75"/>
      <c r="AG532" s="75"/>
    </row>
    <row r="533" spans="1:33" s="16" customFormat="1" ht="33" customHeight="1">
      <c r="A533" s="23" t="s">
        <v>525</v>
      </c>
      <c r="B533" s="22" t="s">
        <v>144</v>
      </c>
      <c r="C533" s="23" t="s">
        <v>176</v>
      </c>
      <c r="D533" s="23" t="s">
        <v>557</v>
      </c>
      <c r="E533" s="23" t="s">
        <v>775</v>
      </c>
      <c r="F533" s="23" t="s">
        <v>109</v>
      </c>
      <c r="G533" s="58">
        <f t="shared" si="117"/>
        <v>45</v>
      </c>
      <c r="H533" s="58">
        <f t="shared" si="117"/>
        <v>45</v>
      </c>
      <c r="I533" s="58">
        <f t="shared" si="117"/>
        <v>45</v>
      </c>
      <c r="J533" s="77">
        <f t="shared" si="110"/>
        <v>100</v>
      </c>
      <c r="K533" s="49"/>
      <c r="L533" s="50"/>
      <c r="M533" s="72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  <c r="AB533" s="75"/>
      <c r="AC533" s="75"/>
      <c r="AD533" s="75"/>
      <c r="AE533" s="75"/>
      <c r="AF533" s="75"/>
      <c r="AG533" s="75"/>
    </row>
    <row r="534" spans="1:33" s="16" customFormat="1" ht="35.25" customHeight="1">
      <c r="A534" s="23" t="s">
        <v>526</v>
      </c>
      <c r="B534" s="22" t="s">
        <v>145</v>
      </c>
      <c r="C534" s="23" t="s">
        <v>176</v>
      </c>
      <c r="D534" s="23" t="s">
        <v>557</v>
      </c>
      <c r="E534" s="23" t="s">
        <v>775</v>
      </c>
      <c r="F534" s="23" t="s">
        <v>102</v>
      </c>
      <c r="G534" s="58">
        <v>45</v>
      </c>
      <c r="H534" s="58">
        <v>45</v>
      </c>
      <c r="I534" s="58">
        <v>45</v>
      </c>
      <c r="J534" s="77">
        <f t="shared" si="110"/>
        <v>100</v>
      </c>
      <c r="K534" s="49"/>
      <c r="L534" s="50"/>
      <c r="M534" s="72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>
        <v>45</v>
      </c>
      <c r="AA534" s="75"/>
      <c r="AB534" s="75">
        <v>45</v>
      </c>
      <c r="AC534" s="75"/>
      <c r="AD534" s="75"/>
      <c r="AE534" s="75"/>
      <c r="AF534" s="75"/>
      <c r="AG534" s="75"/>
    </row>
    <row r="535" spans="1:33" s="16" customFormat="1" ht="21" customHeight="1">
      <c r="A535" s="23" t="s">
        <v>468</v>
      </c>
      <c r="B535" s="34" t="s">
        <v>114</v>
      </c>
      <c r="C535" s="31" t="s">
        <v>176</v>
      </c>
      <c r="D535" s="31" t="s">
        <v>105</v>
      </c>
      <c r="E535" s="31"/>
      <c r="F535" s="31"/>
      <c r="G535" s="79">
        <f>G542+G536+G563</f>
        <v>16150.899999999998</v>
      </c>
      <c r="H535" s="79">
        <f>H542+H536+H563</f>
        <v>16719.600000000002</v>
      </c>
      <c r="I535" s="79">
        <f>I542+I536+I563</f>
        <v>14196.199999999999</v>
      </c>
      <c r="J535" s="77">
        <f t="shared" si="110"/>
        <v>84.90753367305436</v>
      </c>
      <c r="K535" s="49"/>
      <c r="L535" s="50"/>
      <c r="M535" s="72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  <c r="AE535" s="75"/>
      <c r="AF535" s="75"/>
      <c r="AG535" s="75"/>
    </row>
    <row r="536" spans="1:33" s="16" customFormat="1" ht="18.75" customHeight="1">
      <c r="A536" s="23" t="s">
        <v>469</v>
      </c>
      <c r="B536" s="35" t="s">
        <v>85</v>
      </c>
      <c r="C536" s="23" t="s">
        <v>176</v>
      </c>
      <c r="D536" s="36" t="s">
        <v>86</v>
      </c>
      <c r="E536" s="36" t="s">
        <v>160</v>
      </c>
      <c r="F536" s="36" t="s">
        <v>160</v>
      </c>
      <c r="G536" s="78">
        <f aca="true" t="shared" si="118" ref="G536:H540">G537</f>
        <v>1000</v>
      </c>
      <c r="H536" s="78">
        <f t="shared" si="118"/>
        <v>1557</v>
      </c>
      <c r="I536" s="78">
        <f>I537</f>
        <v>1346.1</v>
      </c>
      <c r="J536" s="77">
        <f t="shared" si="110"/>
        <v>86.45472061657033</v>
      </c>
      <c r="K536" s="49"/>
      <c r="L536" s="50"/>
      <c r="M536" s="72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  <c r="AB536" s="75"/>
      <c r="AC536" s="75"/>
      <c r="AD536" s="75"/>
      <c r="AE536" s="75"/>
      <c r="AF536" s="75"/>
      <c r="AG536" s="75"/>
    </row>
    <row r="537" spans="1:33" s="16" customFormat="1" ht="25.5">
      <c r="A537" s="23" t="s">
        <v>916</v>
      </c>
      <c r="B537" s="24" t="s">
        <v>218</v>
      </c>
      <c r="C537" s="23" t="s">
        <v>176</v>
      </c>
      <c r="D537" s="23" t="s">
        <v>86</v>
      </c>
      <c r="E537" s="99" t="s">
        <v>312</v>
      </c>
      <c r="F537" s="23"/>
      <c r="G537" s="54">
        <f t="shared" si="118"/>
        <v>1000</v>
      </c>
      <c r="H537" s="54">
        <f t="shared" si="118"/>
        <v>1557</v>
      </c>
      <c r="I537" s="54">
        <f>I538</f>
        <v>1346.1</v>
      </c>
      <c r="J537" s="77">
        <f t="shared" si="110"/>
        <v>86.45472061657033</v>
      </c>
      <c r="K537" s="49"/>
      <c r="L537" s="50"/>
      <c r="M537" s="72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  <c r="AB537" s="75"/>
      <c r="AC537" s="75"/>
      <c r="AD537" s="75"/>
      <c r="AE537" s="75"/>
      <c r="AF537" s="75"/>
      <c r="AG537" s="75"/>
    </row>
    <row r="538" spans="1:33" s="16" customFormat="1" ht="20.25" customHeight="1">
      <c r="A538" s="23" t="s">
        <v>238</v>
      </c>
      <c r="B538" s="24" t="s">
        <v>219</v>
      </c>
      <c r="C538" s="23" t="s">
        <v>176</v>
      </c>
      <c r="D538" s="23" t="s">
        <v>86</v>
      </c>
      <c r="E538" s="99" t="s">
        <v>328</v>
      </c>
      <c r="F538" s="23"/>
      <c r="G538" s="54">
        <f t="shared" si="118"/>
        <v>1000</v>
      </c>
      <c r="H538" s="54">
        <f t="shared" si="118"/>
        <v>1557</v>
      </c>
      <c r="I538" s="54">
        <f>I539</f>
        <v>1346.1</v>
      </c>
      <c r="J538" s="77">
        <f t="shared" si="110"/>
        <v>86.45472061657033</v>
      </c>
      <c r="K538" s="49"/>
      <c r="L538" s="50"/>
      <c r="M538" s="72"/>
      <c r="N538" s="75"/>
      <c r="O538" s="75"/>
      <c r="P538" s="75"/>
      <c r="Q538" s="75"/>
      <c r="R538" s="75"/>
      <c r="S538" s="75"/>
      <c r="T538" s="75"/>
      <c r="U538" s="75">
        <v>1500</v>
      </c>
      <c r="V538" s="75"/>
      <c r="W538" s="75"/>
      <c r="X538" s="75"/>
      <c r="Y538" s="75"/>
      <c r="Z538" s="75"/>
      <c r="AA538" s="75"/>
      <c r="AB538" s="75"/>
      <c r="AC538" s="75"/>
      <c r="AD538" s="75"/>
      <c r="AE538" s="75"/>
      <c r="AF538" s="75"/>
      <c r="AG538" s="75"/>
    </row>
    <row r="539" spans="1:33" s="16" customFormat="1" ht="46.5" customHeight="1">
      <c r="A539" s="23" t="s">
        <v>1501</v>
      </c>
      <c r="B539" s="41" t="s">
        <v>592</v>
      </c>
      <c r="C539" s="23" t="s">
        <v>176</v>
      </c>
      <c r="D539" s="23" t="s">
        <v>86</v>
      </c>
      <c r="E539" s="23" t="s">
        <v>591</v>
      </c>
      <c r="F539" s="23"/>
      <c r="G539" s="54">
        <f t="shared" si="118"/>
        <v>1000</v>
      </c>
      <c r="H539" s="54">
        <f t="shared" si="118"/>
        <v>1557</v>
      </c>
      <c r="I539" s="54">
        <f>I540</f>
        <v>1346.1</v>
      </c>
      <c r="J539" s="77">
        <f t="shared" si="110"/>
        <v>86.45472061657033</v>
      </c>
      <c r="K539" s="49"/>
      <c r="L539" s="50"/>
      <c r="M539" s="72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  <c r="AB539" s="75"/>
      <c r="AC539" s="75"/>
      <c r="AD539" s="75"/>
      <c r="AE539" s="75"/>
      <c r="AF539" s="75"/>
      <c r="AG539" s="75"/>
    </row>
    <row r="540" spans="1:33" s="16" customFormat="1" ht="18" customHeight="1">
      <c r="A540" s="23" t="s">
        <v>1120</v>
      </c>
      <c r="B540" s="25" t="s">
        <v>87</v>
      </c>
      <c r="C540" s="23" t="s">
        <v>176</v>
      </c>
      <c r="D540" s="23" t="s">
        <v>86</v>
      </c>
      <c r="E540" s="23" t="s">
        <v>591</v>
      </c>
      <c r="F540" s="23" t="s">
        <v>88</v>
      </c>
      <c r="G540" s="54">
        <f t="shared" si="118"/>
        <v>1000</v>
      </c>
      <c r="H540" s="54">
        <f t="shared" si="118"/>
        <v>1557</v>
      </c>
      <c r="I540" s="54">
        <f>I541</f>
        <v>1346.1</v>
      </c>
      <c r="J540" s="77">
        <f t="shared" si="110"/>
        <v>86.45472061657033</v>
      </c>
      <c r="K540" s="49"/>
      <c r="L540" s="50"/>
      <c r="M540" s="72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  <c r="AC540" s="75"/>
      <c r="AD540" s="75"/>
      <c r="AE540" s="75"/>
      <c r="AF540" s="75"/>
      <c r="AG540" s="75"/>
    </row>
    <row r="541" spans="1:33" s="16" customFormat="1" ht="20.25" customHeight="1">
      <c r="A541" s="23" t="s">
        <v>1121</v>
      </c>
      <c r="B541" s="25" t="s">
        <v>89</v>
      </c>
      <c r="C541" s="23" t="s">
        <v>176</v>
      </c>
      <c r="D541" s="23" t="s">
        <v>86</v>
      </c>
      <c r="E541" s="23" t="s">
        <v>591</v>
      </c>
      <c r="F541" s="23" t="s">
        <v>90</v>
      </c>
      <c r="G541" s="58">
        <v>1000</v>
      </c>
      <c r="H541" s="58">
        <f>1000+557</f>
        <v>1557</v>
      </c>
      <c r="I541" s="58">
        <v>1346.1</v>
      </c>
      <c r="J541" s="77">
        <f t="shared" si="110"/>
        <v>86.45472061657033</v>
      </c>
      <c r="K541" s="49"/>
      <c r="L541" s="50">
        <v>1111.5</v>
      </c>
      <c r="M541" s="72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>
        <v>1980</v>
      </c>
      <c r="AA541" s="75"/>
      <c r="AB541" s="75">
        <v>1000</v>
      </c>
      <c r="AC541" s="75"/>
      <c r="AD541" s="75"/>
      <c r="AE541" s="75"/>
      <c r="AF541" s="75">
        <v>557</v>
      </c>
      <c r="AG541" s="75"/>
    </row>
    <row r="542" spans="1:33" s="16" customFormat="1" ht="18" customHeight="1">
      <c r="A542" s="23" t="s">
        <v>1122</v>
      </c>
      <c r="B542" s="35" t="s">
        <v>246</v>
      </c>
      <c r="C542" s="23" t="s">
        <v>176</v>
      </c>
      <c r="D542" s="36" t="s">
        <v>247</v>
      </c>
      <c r="E542" s="36"/>
      <c r="F542" s="36"/>
      <c r="G542" s="80">
        <f>G555+G543</f>
        <v>14144.599999999999</v>
      </c>
      <c r="H542" s="80">
        <f>H555+H543</f>
        <v>14131.7</v>
      </c>
      <c r="I542" s="80">
        <f>I555+I543</f>
        <v>11822.8</v>
      </c>
      <c r="J542" s="77">
        <f t="shared" si="110"/>
        <v>83.66155522690121</v>
      </c>
      <c r="K542" s="49"/>
      <c r="L542" s="50"/>
      <c r="M542" s="72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  <c r="AB542" s="75"/>
      <c r="AC542" s="75"/>
      <c r="AD542" s="75"/>
      <c r="AE542" s="75"/>
      <c r="AF542" s="75"/>
      <c r="AG542" s="75"/>
    </row>
    <row r="543" spans="1:33" s="16" customFormat="1" ht="38.25" customHeight="1">
      <c r="A543" s="23" t="s">
        <v>620</v>
      </c>
      <c r="B543" s="24" t="s">
        <v>268</v>
      </c>
      <c r="C543" s="23" t="s">
        <v>176</v>
      </c>
      <c r="D543" s="23" t="s">
        <v>247</v>
      </c>
      <c r="E543" s="23" t="s">
        <v>356</v>
      </c>
      <c r="F543" s="23"/>
      <c r="G543" s="58">
        <f>SUM(G544)</f>
        <v>13033.099999999999</v>
      </c>
      <c r="H543" s="58">
        <f>SUM(H544)</f>
        <v>10808.9</v>
      </c>
      <c r="I543" s="58">
        <f>SUM(I544)</f>
        <v>8500</v>
      </c>
      <c r="J543" s="77">
        <f t="shared" si="110"/>
        <v>78.63889942547345</v>
      </c>
      <c r="K543" s="49"/>
      <c r="L543" s="50"/>
      <c r="M543" s="72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  <c r="AB543" s="75"/>
      <c r="AC543" s="75"/>
      <c r="AD543" s="75"/>
      <c r="AE543" s="75"/>
      <c r="AF543" s="75"/>
      <c r="AG543" s="75"/>
    </row>
    <row r="544" spans="1:33" s="16" customFormat="1" ht="36" customHeight="1">
      <c r="A544" s="23" t="s">
        <v>844</v>
      </c>
      <c r="B544" s="24" t="s">
        <v>233</v>
      </c>
      <c r="C544" s="23" t="s">
        <v>176</v>
      </c>
      <c r="D544" s="23" t="s">
        <v>247</v>
      </c>
      <c r="E544" s="23" t="s">
        <v>358</v>
      </c>
      <c r="F544" s="23"/>
      <c r="G544" s="58">
        <f>SUM(G545+G552)</f>
        <v>13033.099999999999</v>
      </c>
      <c r="H544" s="58">
        <f>SUM(H545+H552)</f>
        <v>10808.9</v>
      </c>
      <c r="I544" s="58">
        <f>SUM(I545+I552)</f>
        <v>8500</v>
      </c>
      <c r="J544" s="77">
        <f t="shared" si="110"/>
        <v>78.63889942547345</v>
      </c>
      <c r="K544" s="49"/>
      <c r="L544" s="50"/>
      <c r="M544" s="72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  <c r="AB544" s="75"/>
      <c r="AC544" s="75"/>
      <c r="AD544" s="75"/>
      <c r="AE544" s="75"/>
      <c r="AF544" s="75"/>
      <c r="AG544" s="75"/>
    </row>
    <row r="545" spans="1:33" s="16" customFormat="1" ht="95.25" customHeight="1">
      <c r="A545" s="23" t="s">
        <v>845</v>
      </c>
      <c r="B545" s="29" t="s">
        <v>865</v>
      </c>
      <c r="C545" s="23" t="s">
        <v>176</v>
      </c>
      <c r="D545" s="23" t="s">
        <v>247</v>
      </c>
      <c r="E545" s="23" t="s">
        <v>864</v>
      </c>
      <c r="F545" s="23"/>
      <c r="G545" s="58">
        <f>G550+G546+G548</f>
        <v>11032.099999999999</v>
      </c>
      <c r="H545" s="58">
        <f>H550+H546+H548</f>
        <v>10808.9</v>
      </c>
      <c r="I545" s="58">
        <f>I550+I546+I548</f>
        <v>8500</v>
      </c>
      <c r="J545" s="77">
        <f t="shared" si="110"/>
        <v>78.63889942547345</v>
      </c>
      <c r="K545" s="49"/>
      <c r="L545" s="50"/>
      <c r="M545" s="72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  <c r="AB545" s="75"/>
      <c r="AC545" s="75"/>
      <c r="AD545" s="75"/>
      <c r="AE545" s="75"/>
      <c r="AF545" s="75"/>
      <c r="AG545" s="75"/>
    </row>
    <row r="546" spans="1:33" s="16" customFormat="1" ht="57" customHeight="1">
      <c r="A546" s="23" t="s">
        <v>846</v>
      </c>
      <c r="B546" s="25" t="s">
        <v>181</v>
      </c>
      <c r="C546" s="23" t="s">
        <v>176</v>
      </c>
      <c r="D546" s="23" t="s">
        <v>247</v>
      </c>
      <c r="E546" s="23" t="s">
        <v>864</v>
      </c>
      <c r="F546" s="23" t="s">
        <v>179</v>
      </c>
      <c r="G546" s="58">
        <f aca="true" t="shared" si="119" ref="G546:I550">G547</f>
        <v>215.4</v>
      </c>
      <c r="H546" s="58">
        <f t="shared" si="119"/>
        <v>0</v>
      </c>
      <c r="I546" s="58">
        <f t="shared" si="119"/>
        <v>0</v>
      </c>
      <c r="J546" s="77">
        <v>0</v>
      </c>
      <c r="K546" s="49"/>
      <c r="L546" s="50"/>
      <c r="M546" s="72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  <c r="AB546" s="75"/>
      <c r="AC546" s="75"/>
      <c r="AD546" s="75"/>
      <c r="AE546" s="75"/>
      <c r="AF546" s="75"/>
      <c r="AG546" s="75"/>
    </row>
    <row r="547" spans="1:33" s="16" customFormat="1" ht="30" customHeight="1">
      <c r="A547" s="23" t="s">
        <v>711</v>
      </c>
      <c r="B547" s="25" t="s">
        <v>300</v>
      </c>
      <c r="C547" s="23" t="s">
        <v>176</v>
      </c>
      <c r="D547" s="23" t="s">
        <v>247</v>
      </c>
      <c r="E547" s="23" t="s">
        <v>864</v>
      </c>
      <c r="F547" s="23" t="s">
        <v>180</v>
      </c>
      <c r="G547" s="58">
        <v>215.4</v>
      </c>
      <c r="H547" s="58">
        <f>215.4-215.4</f>
        <v>0</v>
      </c>
      <c r="I547" s="58">
        <v>0</v>
      </c>
      <c r="J547" s="77">
        <v>0</v>
      </c>
      <c r="K547" s="49"/>
      <c r="L547" s="50"/>
      <c r="M547" s="72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  <c r="AB547" s="75"/>
      <c r="AC547" s="75">
        <v>215.4</v>
      </c>
      <c r="AD547" s="75">
        <v>-215.4</v>
      </c>
      <c r="AE547" s="75"/>
      <c r="AF547" s="75"/>
      <c r="AG547" s="75"/>
    </row>
    <row r="548" spans="1:33" s="16" customFormat="1" ht="30" customHeight="1">
      <c r="A548" s="23" t="s">
        <v>146</v>
      </c>
      <c r="B548" s="22" t="s">
        <v>144</v>
      </c>
      <c r="C548" s="23" t="s">
        <v>176</v>
      </c>
      <c r="D548" s="23" t="s">
        <v>247</v>
      </c>
      <c r="E548" s="23" t="s">
        <v>864</v>
      </c>
      <c r="F548" s="23" t="s">
        <v>109</v>
      </c>
      <c r="G548" s="58">
        <f t="shared" si="119"/>
        <v>7.8</v>
      </c>
      <c r="H548" s="58">
        <f t="shared" si="119"/>
        <v>0</v>
      </c>
      <c r="I548" s="58">
        <f t="shared" si="119"/>
        <v>0</v>
      </c>
      <c r="J548" s="77">
        <v>0</v>
      </c>
      <c r="K548" s="49"/>
      <c r="L548" s="50"/>
      <c r="M548" s="72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  <c r="AB548" s="75"/>
      <c r="AC548" s="75"/>
      <c r="AD548" s="75"/>
      <c r="AE548" s="75"/>
      <c r="AF548" s="75"/>
      <c r="AG548" s="75"/>
    </row>
    <row r="549" spans="1:33" s="16" customFormat="1" ht="30" customHeight="1">
      <c r="A549" s="23" t="s">
        <v>917</v>
      </c>
      <c r="B549" s="22" t="s">
        <v>145</v>
      </c>
      <c r="C549" s="23" t="s">
        <v>176</v>
      </c>
      <c r="D549" s="23" t="s">
        <v>247</v>
      </c>
      <c r="E549" s="23" t="s">
        <v>864</v>
      </c>
      <c r="F549" s="23" t="s">
        <v>102</v>
      </c>
      <c r="G549" s="58">
        <v>7.8</v>
      </c>
      <c r="H549" s="58">
        <f>7.8-7.8</f>
        <v>0</v>
      </c>
      <c r="I549" s="58">
        <v>0</v>
      </c>
      <c r="J549" s="77">
        <v>0</v>
      </c>
      <c r="K549" s="49"/>
      <c r="L549" s="50"/>
      <c r="M549" s="72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  <c r="AB549" s="75"/>
      <c r="AC549" s="75">
        <v>7.8</v>
      </c>
      <c r="AD549" s="75">
        <v>-7.8</v>
      </c>
      <c r="AE549" s="75"/>
      <c r="AF549" s="75"/>
      <c r="AG549" s="75"/>
    </row>
    <row r="550" spans="1:33" s="16" customFormat="1" ht="32.25" customHeight="1">
      <c r="A550" s="23" t="s">
        <v>1123</v>
      </c>
      <c r="B550" s="25" t="s">
        <v>801</v>
      </c>
      <c r="C550" s="23" t="s">
        <v>176</v>
      </c>
      <c r="D550" s="23" t="s">
        <v>247</v>
      </c>
      <c r="E550" s="23" t="s">
        <v>864</v>
      </c>
      <c r="F550" s="23" t="s">
        <v>802</v>
      </c>
      <c r="G550" s="58">
        <f t="shared" si="119"/>
        <v>10808.9</v>
      </c>
      <c r="H550" s="58">
        <f t="shared" si="119"/>
        <v>10808.9</v>
      </c>
      <c r="I550" s="58">
        <f t="shared" si="119"/>
        <v>8500</v>
      </c>
      <c r="J550" s="77">
        <f t="shared" si="110"/>
        <v>78.63889942547345</v>
      </c>
      <c r="K550" s="49"/>
      <c r="L550" s="50"/>
      <c r="M550" s="72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  <c r="AB550" s="75"/>
      <c r="AC550" s="75"/>
      <c r="AD550" s="75"/>
      <c r="AE550" s="75"/>
      <c r="AF550" s="75"/>
      <c r="AG550" s="75"/>
    </row>
    <row r="551" spans="1:33" s="16" customFormat="1" ht="18" customHeight="1">
      <c r="A551" s="23" t="s">
        <v>1124</v>
      </c>
      <c r="B551" s="25" t="s">
        <v>803</v>
      </c>
      <c r="C551" s="23" t="s">
        <v>176</v>
      </c>
      <c r="D551" s="23" t="s">
        <v>247</v>
      </c>
      <c r="E551" s="23" t="s">
        <v>864</v>
      </c>
      <c r="F551" s="23" t="s">
        <v>281</v>
      </c>
      <c r="G551" s="58">
        <v>10808.9</v>
      </c>
      <c r="H551" s="58">
        <v>10808.9</v>
      </c>
      <c r="I551" s="58">
        <v>8500</v>
      </c>
      <c r="J551" s="77">
        <f t="shared" si="110"/>
        <v>78.63889942547345</v>
      </c>
      <c r="K551" s="49"/>
      <c r="L551" s="50"/>
      <c r="M551" s="72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  <c r="AB551" s="75"/>
      <c r="AC551" s="75">
        <v>10808.9</v>
      </c>
      <c r="AD551" s="75"/>
      <c r="AE551" s="75"/>
      <c r="AF551" s="75"/>
      <c r="AG551" s="75"/>
    </row>
    <row r="552" spans="1:33" s="16" customFormat="1" ht="90" customHeight="1">
      <c r="A552" s="23" t="s">
        <v>1125</v>
      </c>
      <c r="B552" s="29" t="s">
        <v>804</v>
      </c>
      <c r="C552" s="23" t="s">
        <v>176</v>
      </c>
      <c r="D552" s="23" t="s">
        <v>247</v>
      </c>
      <c r="E552" s="23" t="s">
        <v>814</v>
      </c>
      <c r="F552" s="23"/>
      <c r="G552" s="58">
        <f aca="true" t="shared" si="120" ref="G552:I553">G553</f>
        <v>2001</v>
      </c>
      <c r="H552" s="58">
        <f t="shared" si="120"/>
        <v>0</v>
      </c>
      <c r="I552" s="58">
        <f t="shared" si="120"/>
        <v>0</v>
      </c>
      <c r="J552" s="77" t="e">
        <f t="shared" si="110"/>
        <v>#DIV/0!</v>
      </c>
      <c r="K552" s="49"/>
      <c r="L552" s="50"/>
      <c r="M552" s="72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  <c r="AB552" s="75"/>
      <c r="AC552" s="75"/>
      <c r="AD552" s="75"/>
      <c r="AE552" s="75"/>
      <c r="AF552" s="75"/>
      <c r="AG552" s="75"/>
    </row>
    <row r="553" spans="1:33" s="16" customFormat="1" ht="31.5" customHeight="1">
      <c r="A553" s="23" t="s">
        <v>1126</v>
      </c>
      <c r="B553" s="25" t="s">
        <v>801</v>
      </c>
      <c r="C553" s="23" t="s">
        <v>176</v>
      </c>
      <c r="D553" s="23" t="s">
        <v>247</v>
      </c>
      <c r="E553" s="23" t="s">
        <v>814</v>
      </c>
      <c r="F553" s="23" t="s">
        <v>802</v>
      </c>
      <c r="G553" s="58">
        <f t="shared" si="120"/>
        <v>2001</v>
      </c>
      <c r="H553" s="58">
        <f t="shared" si="120"/>
        <v>0</v>
      </c>
      <c r="I553" s="58">
        <f t="shared" si="120"/>
        <v>0</v>
      </c>
      <c r="J553" s="77" t="e">
        <f t="shared" si="110"/>
        <v>#DIV/0!</v>
      </c>
      <c r="K553" s="49"/>
      <c r="L553" s="50"/>
      <c r="M553" s="72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  <c r="AA553" s="75"/>
      <c r="AB553" s="75"/>
      <c r="AC553" s="75"/>
      <c r="AD553" s="75"/>
      <c r="AE553" s="75"/>
      <c r="AF553" s="75"/>
      <c r="AG553" s="75"/>
    </row>
    <row r="554" spans="1:33" s="16" customFormat="1" ht="18" customHeight="1">
      <c r="A554" s="23" t="s">
        <v>1127</v>
      </c>
      <c r="B554" s="25" t="s">
        <v>803</v>
      </c>
      <c r="C554" s="23" t="s">
        <v>176</v>
      </c>
      <c r="D554" s="23" t="s">
        <v>247</v>
      </c>
      <c r="E554" s="23" t="s">
        <v>814</v>
      </c>
      <c r="F554" s="23" t="s">
        <v>281</v>
      </c>
      <c r="G554" s="58">
        <v>2001</v>
      </c>
      <c r="H554" s="58">
        <f>2001-2001</f>
        <v>0</v>
      </c>
      <c r="I554" s="58">
        <v>0</v>
      </c>
      <c r="J554" s="77" t="e">
        <f t="shared" si="110"/>
        <v>#DIV/0!</v>
      </c>
      <c r="K554" s="49"/>
      <c r="L554" s="50"/>
      <c r="M554" s="72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  <c r="AB554" s="75">
        <v>2001</v>
      </c>
      <c r="AC554" s="75"/>
      <c r="AD554" s="75"/>
      <c r="AE554" s="75"/>
      <c r="AF554" s="75">
        <v>-2001</v>
      </c>
      <c r="AG554" s="75"/>
    </row>
    <row r="555" spans="1:33" s="16" customFormat="1" ht="22.5" customHeight="1">
      <c r="A555" s="23" t="s">
        <v>1128</v>
      </c>
      <c r="B555" s="22" t="s">
        <v>295</v>
      </c>
      <c r="C555" s="23" t="s">
        <v>176</v>
      </c>
      <c r="D555" s="23" t="s">
        <v>247</v>
      </c>
      <c r="E555" s="23" t="s">
        <v>350</v>
      </c>
      <c r="F555" s="23"/>
      <c r="G555" s="58">
        <f>G556</f>
        <v>1111.5</v>
      </c>
      <c r="H555" s="58">
        <f>H556</f>
        <v>3322.8</v>
      </c>
      <c r="I555" s="58">
        <f>I556</f>
        <v>3322.8</v>
      </c>
      <c r="J555" s="77">
        <f t="shared" si="110"/>
        <v>100</v>
      </c>
      <c r="K555" s="49"/>
      <c r="L555" s="50"/>
      <c r="M555" s="72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  <c r="AB555" s="75"/>
      <c r="AC555" s="75"/>
      <c r="AD555" s="75"/>
      <c r="AE555" s="75"/>
      <c r="AF555" s="75"/>
      <c r="AG555" s="75"/>
    </row>
    <row r="556" spans="1:33" s="16" customFormat="1" ht="39.75" customHeight="1">
      <c r="A556" s="23" t="s">
        <v>918</v>
      </c>
      <c r="B556" s="22" t="s">
        <v>185</v>
      </c>
      <c r="C556" s="23" t="s">
        <v>176</v>
      </c>
      <c r="D556" s="23" t="s">
        <v>247</v>
      </c>
      <c r="E556" s="23" t="s">
        <v>354</v>
      </c>
      <c r="F556" s="23"/>
      <c r="G556" s="58">
        <f>G560+G557</f>
        <v>1111.5</v>
      </c>
      <c r="H556" s="58">
        <f>H560+H557</f>
        <v>3322.8</v>
      </c>
      <c r="I556" s="58">
        <f>I560+I557</f>
        <v>3322.8</v>
      </c>
      <c r="J556" s="77">
        <f t="shared" si="110"/>
        <v>100</v>
      </c>
      <c r="K556" s="49"/>
      <c r="L556" s="50"/>
      <c r="M556" s="72"/>
      <c r="N556" s="75"/>
      <c r="O556" s="75"/>
      <c r="P556" s="75"/>
      <c r="Q556" s="75"/>
      <c r="R556" s="75"/>
      <c r="S556" s="75"/>
      <c r="T556" s="75"/>
      <c r="U556" s="75">
        <v>1111.5</v>
      </c>
      <c r="V556" s="75"/>
      <c r="W556" s="75"/>
      <c r="X556" s="75">
        <v>70</v>
      </c>
      <c r="Y556" s="75"/>
      <c r="Z556" s="75"/>
      <c r="AA556" s="75"/>
      <c r="AB556" s="75"/>
      <c r="AC556" s="75"/>
      <c r="AD556" s="75"/>
      <c r="AE556" s="75"/>
      <c r="AF556" s="75"/>
      <c r="AG556" s="75"/>
    </row>
    <row r="557" spans="1:33" s="16" customFormat="1" ht="74.25" customHeight="1">
      <c r="A557" s="23" t="s">
        <v>919</v>
      </c>
      <c r="B557" s="22" t="s">
        <v>1193</v>
      </c>
      <c r="C557" s="23" t="s">
        <v>176</v>
      </c>
      <c r="D557" s="23" t="s">
        <v>247</v>
      </c>
      <c r="E557" s="23" t="s">
        <v>544</v>
      </c>
      <c r="F557" s="23"/>
      <c r="G557" s="58">
        <f aca="true" t="shared" si="121" ref="G557:I558">G558</f>
        <v>0</v>
      </c>
      <c r="H557" s="58">
        <f t="shared" si="121"/>
        <v>2211.3</v>
      </c>
      <c r="I557" s="58">
        <f t="shared" si="121"/>
        <v>2211.3</v>
      </c>
      <c r="J557" s="77">
        <f t="shared" si="110"/>
        <v>100</v>
      </c>
      <c r="K557" s="49"/>
      <c r="L557" s="50"/>
      <c r="M557" s="72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  <c r="AA557" s="75"/>
      <c r="AB557" s="75"/>
      <c r="AC557" s="75"/>
      <c r="AD557" s="75"/>
      <c r="AE557" s="75"/>
      <c r="AF557" s="75"/>
      <c r="AG557" s="75"/>
    </row>
    <row r="558" spans="1:33" s="16" customFormat="1" ht="27" customHeight="1">
      <c r="A558" s="23" t="s">
        <v>920</v>
      </c>
      <c r="B558" s="25" t="s">
        <v>87</v>
      </c>
      <c r="C558" s="23" t="s">
        <v>176</v>
      </c>
      <c r="D558" s="23" t="s">
        <v>247</v>
      </c>
      <c r="E558" s="23" t="s">
        <v>544</v>
      </c>
      <c r="F558" s="23" t="s">
        <v>88</v>
      </c>
      <c r="G558" s="58">
        <f t="shared" si="121"/>
        <v>0</v>
      </c>
      <c r="H558" s="58">
        <f t="shared" si="121"/>
        <v>2211.3</v>
      </c>
      <c r="I558" s="58">
        <f t="shared" si="121"/>
        <v>2211.3</v>
      </c>
      <c r="J558" s="77">
        <f t="shared" si="110"/>
        <v>100</v>
      </c>
      <c r="K558" s="49"/>
      <c r="L558" s="50"/>
      <c r="M558" s="72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  <c r="AA558" s="75"/>
      <c r="AB558" s="75"/>
      <c r="AC558" s="75"/>
      <c r="AD558" s="75"/>
      <c r="AE558" s="75"/>
      <c r="AF558" s="75"/>
      <c r="AG558" s="75"/>
    </row>
    <row r="559" spans="1:33" s="16" customFormat="1" ht="39.75" customHeight="1">
      <c r="A559" s="23" t="s">
        <v>921</v>
      </c>
      <c r="B559" s="25" t="s">
        <v>248</v>
      </c>
      <c r="C559" s="23" t="s">
        <v>176</v>
      </c>
      <c r="D559" s="23" t="s">
        <v>247</v>
      </c>
      <c r="E559" s="23" t="s">
        <v>544</v>
      </c>
      <c r="F559" s="23" t="s">
        <v>249</v>
      </c>
      <c r="G559" s="58">
        <v>0</v>
      </c>
      <c r="H559" s="58">
        <v>2211.3</v>
      </c>
      <c r="I559" s="58">
        <v>2211.3</v>
      </c>
      <c r="J559" s="77">
        <f t="shared" si="110"/>
        <v>100</v>
      </c>
      <c r="K559" s="49"/>
      <c r="L559" s="50"/>
      <c r="M559" s="72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  <c r="AB559" s="75"/>
      <c r="AC559" s="75"/>
      <c r="AD559" s="75">
        <f>633.2+1578.1</f>
        <v>2211.3</v>
      </c>
      <c r="AE559" s="75"/>
      <c r="AF559" s="75"/>
      <c r="AG559" s="75"/>
    </row>
    <row r="560" spans="1:33" s="16" customFormat="1" ht="67.5" customHeight="1">
      <c r="A560" s="23" t="s">
        <v>922</v>
      </c>
      <c r="B560" s="22" t="s">
        <v>406</v>
      </c>
      <c r="C560" s="23" t="s">
        <v>176</v>
      </c>
      <c r="D560" s="23" t="s">
        <v>247</v>
      </c>
      <c r="E560" s="23" t="s">
        <v>544</v>
      </c>
      <c r="F560" s="23"/>
      <c r="G560" s="58">
        <f aca="true" t="shared" si="122" ref="G560:I561">G561</f>
        <v>1111.5</v>
      </c>
      <c r="H560" s="58">
        <f t="shared" si="122"/>
        <v>1111.5</v>
      </c>
      <c r="I560" s="58">
        <f t="shared" si="122"/>
        <v>1111.5</v>
      </c>
      <c r="J560" s="77">
        <f t="shared" si="110"/>
        <v>100</v>
      </c>
      <c r="K560" s="49"/>
      <c r="L560" s="50"/>
      <c r="M560" s="72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  <c r="AA560" s="75"/>
      <c r="AB560" s="75"/>
      <c r="AC560" s="75"/>
      <c r="AD560" s="75"/>
      <c r="AE560" s="75"/>
      <c r="AF560" s="75"/>
      <c r="AG560" s="75"/>
    </row>
    <row r="561" spans="1:33" s="16" customFormat="1" ht="22.5" customHeight="1">
      <c r="A561" s="23" t="s">
        <v>621</v>
      </c>
      <c r="B561" s="25" t="s">
        <v>87</v>
      </c>
      <c r="C561" s="23" t="s">
        <v>176</v>
      </c>
      <c r="D561" s="23" t="s">
        <v>247</v>
      </c>
      <c r="E561" s="23" t="s">
        <v>544</v>
      </c>
      <c r="F561" s="23" t="s">
        <v>88</v>
      </c>
      <c r="G561" s="58">
        <f t="shared" si="122"/>
        <v>1111.5</v>
      </c>
      <c r="H561" s="58">
        <f t="shared" si="122"/>
        <v>1111.5</v>
      </c>
      <c r="I561" s="58">
        <f t="shared" si="122"/>
        <v>1111.5</v>
      </c>
      <c r="J561" s="77">
        <f t="shared" si="110"/>
        <v>100</v>
      </c>
      <c r="K561" s="49"/>
      <c r="L561" s="50"/>
      <c r="M561" s="72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  <c r="AA561" s="75"/>
      <c r="AB561" s="75"/>
      <c r="AC561" s="75"/>
      <c r="AD561" s="75"/>
      <c r="AE561" s="75"/>
      <c r="AF561" s="75"/>
      <c r="AG561" s="75"/>
    </row>
    <row r="562" spans="1:33" s="16" customFormat="1" ht="32.25" customHeight="1">
      <c r="A562" s="23" t="s">
        <v>622</v>
      </c>
      <c r="B562" s="25" t="s">
        <v>248</v>
      </c>
      <c r="C562" s="23" t="s">
        <v>176</v>
      </c>
      <c r="D562" s="23" t="s">
        <v>247</v>
      </c>
      <c r="E562" s="23" t="s">
        <v>544</v>
      </c>
      <c r="F562" s="23" t="s">
        <v>249</v>
      </c>
      <c r="G562" s="58">
        <v>1111.5</v>
      </c>
      <c r="H562" s="58">
        <v>1111.5</v>
      </c>
      <c r="I562" s="58">
        <v>1111.5</v>
      </c>
      <c r="J562" s="77">
        <f t="shared" si="110"/>
        <v>100</v>
      </c>
      <c r="K562" s="49"/>
      <c r="L562" s="50"/>
      <c r="M562" s="72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>
        <v>1836.9</v>
      </c>
      <c r="Z562" s="75">
        <v>1111.5</v>
      </c>
      <c r="AA562" s="75"/>
      <c r="AB562" s="75">
        <v>1111.5</v>
      </c>
      <c r="AC562" s="75"/>
      <c r="AD562" s="75"/>
      <c r="AE562" s="75"/>
      <c r="AF562" s="75"/>
      <c r="AG562" s="75"/>
    </row>
    <row r="563" spans="1:33" s="16" customFormat="1" ht="19.5" customHeight="1">
      <c r="A563" s="23" t="s">
        <v>623</v>
      </c>
      <c r="B563" s="35" t="s">
        <v>108</v>
      </c>
      <c r="C563" s="23" t="s">
        <v>176</v>
      </c>
      <c r="D563" s="36" t="s">
        <v>107</v>
      </c>
      <c r="E563" s="36" t="s">
        <v>160</v>
      </c>
      <c r="F563" s="36" t="s">
        <v>160</v>
      </c>
      <c r="G563" s="78">
        <f>G564</f>
        <v>1006.3</v>
      </c>
      <c r="H563" s="78">
        <f>H564</f>
        <v>1030.9</v>
      </c>
      <c r="I563" s="78">
        <f>I564</f>
        <v>1027.3</v>
      </c>
      <c r="J563" s="77">
        <f t="shared" si="110"/>
        <v>99.65079057134541</v>
      </c>
      <c r="K563" s="49"/>
      <c r="L563" s="50"/>
      <c r="M563" s="72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  <c r="AA563" s="75"/>
      <c r="AB563" s="75"/>
      <c r="AC563" s="75"/>
      <c r="AD563" s="75"/>
      <c r="AE563" s="75"/>
      <c r="AF563" s="75"/>
      <c r="AG563" s="75"/>
    </row>
    <row r="564" spans="1:33" s="16" customFormat="1" ht="25.5">
      <c r="A564" s="23" t="s">
        <v>393</v>
      </c>
      <c r="B564" s="24" t="s">
        <v>218</v>
      </c>
      <c r="C564" s="23" t="s">
        <v>176</v>
      </c>
      <c r="D564" s="23" t="s">
        <v>107</v>
      </c>
      <c r="E564" s="99" t="s">
        <v>312</v>
      </c>
      <c r="F564" s="23"/>
      <c r="G564" s="58">
        <f>SUM(G565)</f>
        <v>1006.3</v>
      </c>
      <c r="H564" s="58">
        <f>SUM(H565)</f>
        <v>1030.9</v>
      </c>
      <c r="I564" s="58">
        <f>SUM(I565)</f>
        <v>1027.3</v>
      </c>
      <c r="J564" s="77">
        <f t="shared" si="110"/>
        <v>99.65079057134541</v>
      </c>
      <c r="K564" s="49"/>
      <c r="L564" s="50"/>
      <c r="M564" s="72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  <c r="AA564" s="75"/>
      <c r="AB564" s="75"/>
      <c r="AC564" s="75"/>
      <c r="AD564" s="75"/>
      <c r="AE564" s="75"/>
      <c r="AF564" s="75"/>
      <c r="AG564" s="75"/>
    </row>
    <row r="565" spans="1:33" s="16" customFormat="1" ht="22.5" customHeight="1">
      <c r="A565" s="23" t="s">
        <v>847</v>
      </c>
      <c r="B565" s="24" t="s">
        <v>219</v>
      </c>
      <c r="C565" s="23" t="s">
        <v>176</v>
      </c>
      <c r="D565" s="23" t="s">
        <v>107</v>
      </c>
      <c r="E565" s="99" t="s">
        <v>328</v>
      </c>
      <c r="F565" s="23"/>
      <c r="G565" s="58">
        <f>SUM(G575+G566+G569+G572)</f>
        <v>1006.3</v>
      </c>
      <c r="H565" s="58">
        <f>SUM(H575+H566+H569+H572)</f>
        <v>1030.9</v>
      </c>
      <c r="I565" s="58">
        <f>SUM(I575+I566+I569+I572)</f>
        <v>1027.3</v>
      </c>
      <c r="J565" s="77">
        <f t="shared" si="110"/>
        <v>99.65079057134541</v>
      </c>
      <c r="K565" s="49"/>
      <c r="L565" s="50"/>
      <c r="M565" s="72"/>
      <c r="N565" s="75"/>
      <c r="O565" s="75"/>
      <c r="P565" s="75"/>
      <c r="Q565" s="75"/>
      <c r="R565" s="75"/>
      <c r="S565" s="75"/>
      <c r="T565" s="75"/>
      <c r="U565" s="75">
        <v>35</v>
      </c>
      <c r="V565" s="75"/>
      <c r="W565" s="75"/>
      <c r="X565" s="75"/>
      <c r="Y565" s="75"/>
      <c r="Z565" s="75"/>
      <c r="AA565" s="75"/>
      <c r="AB565" s="75"/>
      <c r="AC565" s="75"/>
      <c r="AD565" s="75"/>
      <c r="AE565" s="75"/>
      <c r="AF565" s="75"/>
      <c r="AG565" s="75"/>
    </row>
    <row r="566" spans="1:33" s="16" customFormat="1" ht="38.25">
      <c r="A566" s="23" t="s">
        <v>923</v>
      </c>
      <c r="B566" s="25" t="s">
        <v>584</v>
      </c>
      <c r="C566" s="23" t="s">
        <v>176</v>
      </c>
      <c r="D566" s="23" t="s">
        <v>107</v>
      </c>
      <c r="E566" s="23" t="s">
        <v>585</v>
      </c>
      <c r="F566" s="23"/>
      <c r="G566" s="58">
        <f aca="true" t="shared" si="123" ref="G566:I567">G567</f>
        <v>35</v>
      </c>
      <c r="H566" s="58">
        <f t="shared" si="123"/>
        <v>15</v>
      </c>
      <c r="I566" s="58">
        <f t="shared" si="123"/>
        <v>15</v>
      </c>
      <c r="J566" s="77">
        <f t="shared" si="110"/>
        <v>100</v>
      </c>
      <c r="K566" s="49"/>
      <c r="L566" s="50"/>
      <c r="M566" s="72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5"/>
      <c r="AB566" s="75"/>
      <c r="AC566" s="75"/>
      <c r="AD566" s="75"/>
      <c r="AE566" s="75"/>
      <c r="AF566" s="75"/>
      <c r="AG566" s="75"/>
    </row>
    <row r="567" spans="1:33" s="16" customFormat="1" ht="18.75" customHeight="1">
      <c r="A567" s="23" t="s">
        <v>924</v>
      </c>
      <c r="B567" s="25" t="s">
        <v>87</v>
      </c>
      <c r="C567" s="23" t="s">
        <v>176</v>
      </c>
      <c r="D567" s="23" t="s">
        <v>107</v>
      </c>
      <c r="E567" s="23" t="s">
        <v>585</v>
      </c>
      <c r="F567" s="23" t="s">
        <v>88</v>
      </c>
      <c r="G567" s="58">
        <f t="shared" si="123"/>
        <v>35</v>
      </c>
      <c r="H567" s="58">
        <f t="shared" si="123"/>
        <v>15</v>
      </c>
      <c r="I567" s="58">
        <f t="shared" si="123"/>
        <v>15</v>
      </c>
      <c r="J567" s="77">
        <f t="shared" si="110"/>
        <v>100</v>
      </c>
      <c r="K567" s="49"/>
      <c r="L567" s="50"/>
      <c r="M567" s="72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  <c r="AA567" s="75"/>
      <c r="AB567" s="75"/>
      <c r="AC567" s="75"/>
      <c r="AD567" s="75"/>
      <c r="AE567" s="75"/>
      <c r="AF567" s="75"/>
      <c r="AG567" s="75"/>
    </row>
    <row r="568" spans="1:33" s="16" customFormat="1" ht="21.75" customHeight="1">
      <c r="A568" s="23" t="s">
        <v>925</v>
      </c>
      <c r="B568" s="25" t="s">
        <v>89</v>
      </c>
      <c r="C568" s="23" t="s">
        <v>176</v>
      </c>
      <c r="D568" s="23" t="s">
        <v>107</v>
      </c>
      <c r="E568" s="23" t="s">
        <v>585</v>
      </c>
      <c r="F568" s="23" t="s">
        <v>90</v>
      </c>
      <c r="G568" s="58">
        <v>35</v>
      </c>
      <c r="H568" s="58">
        <f>35-20</f>
        <v>15</v>
      </c>
      <c r="I568" s="58">
        <v>15</v>
      </c>
      <c r="J568" s="77">
        <f t="shared" si="110"/>
        <v>100</v>
      </c>
      <c r="K568" s="49"/>
      <c r="L568" s="50"/>
      <c r="M568" s="72"/>
      <c r="N568" s="75"/>
      <c r="O568" s="75"/>
      <c r="P568" s="75"/>
      <c r="Q568" s="75"/>
      <c r="R568" s="75"/>
      <c r="S568" s="75"/>
      <c r="T568" s="75"/>
      <c r="U568" s="75">
        <v>300</v>
      </c>
      <c r="V568" s="75"/>
      <c r="W568" s="75"/>
      <c r="X568" s="75"/>
      <c r="Y568" s="75"/>
      <c r="Z568" s="75">
        <v>35</v>
      </c>
      <c r="AA568" s="75"/>
      <c r="AB568" s="75">
        <v>35</v>
      </c>
      <c r="AC568" s="75"/>
      <c r="AD568" s="75"/>
      <c r="AE568" s="75"/>
      <c r="AF568" s="75">
        <v>-20</v>
      </c>
      <c r="AG568" s="75"/>
    </row>
    <row r="569" spans="1:33" s="16" customFormat="1" ht="38.25">
      <c r="A569" s="23" t="s">
        <v>1129</v>
      </c>
      <c r="B569" s="41" t="s">
        <v>586</v>
      </c>
      <c r="C569" s="23" t="s">
        <v>176</v>
      </c>
      <c r="D569" s="23" t="s">
        <v>107</v>
      </c>
      <c r="E569" s="23" t="s">
        <v>587</v>
      </c>
      <c r="F569" s="23"/>
      <c r="G569" s="54">
        <f aca="true" t="shared" si="124" ref="G569:I573">G570</f>
        <v>100</v>
      </c>
      <c r="H569" s="54">
        <f t="shared" si="124"/>
        <v>110</v>
      </c>
      <c r="I569" s="54">
        <f t="shared" si="124"/>
        <v>110</v>
      </c>
      <c r="J569" s="77">
        <f t="shared" si="110"/>
        <v>100</v>
      </c>
      <c r="K569" s="49"/>
      <c r="L569" s="50"/>
      <c r="M569" s="72"/>
      <c r="N569" s="75"/>
      <c r="O569" s="75"/>
      <c r="P569" s="75"/>
      <c r="Q569" s="75"/>
      <c r="R569" s="75"/>
      <c r="S569" s="75"/>
      <c r="T569" s="75">
        <v>734.7</v>
      </c>
      <c r="U569" s="75"/>
      <c r="V569" s="75"/>
      <c r="W569" s="75"/>
      <c r="X569" s="75"/>
      <c r="Y569" s="75"/>
      <c r="Z569" s="75"/>
      <c r="AA569" s="75"/>
      <c r="AB569" s="75"/>
      <c r="AC569" s="75"/>
      <c r="AD569" s="75"/>
      <c r="AE569" s="75"/>
      <c r="AF569" s="75"/>
      <c r="AG569" s="75"/>
    </row>
    <row r="570" spans="1:33" s="16" customFormat="1" ht="18" customHeight="1">
      <c r="A570" s="23" t="s">
        <v>1130</v>
      </c>
      <c r="B570" s="24" t="s">
        <v>198</v>
      </c>
      <c r="C570" s="23" t="s">
        <v>176</v>
      </c>
      <c r="D570" s="23" t="s">
        <v>107</v>
      </c>
      <c r="E570" s="23" t="s">
        <v>587</v>
      </c>
      <c r="F570" s="23" t="s">
        <v>201</v>
      </c>
      <c r="G570" s="58">
        <f t="shared" si="124"/>
        <v>100</v>
      </c>
      <c r="H570" s="58">
        <f t="shared" si="124"/>
        <v>110</v>
      </c>
      <c r="I570" s="58">
        <f t="shared" si="124"/>
        <v>110</v>
      </c>
      <c r="J570" s="77">
        <f t="shared" si="110"/>
        <v>100</v>
      </c>
      <c r="K570" s="49"/>
      <c r="L570" s="50"/>
      <c r="M570" s="72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  <c r="AA570" s="75"/>
      <c r="AB570" s="75"/>
      <c r="AC570" s="75"/>
      <c r="AD570" s="75"/>
      <c r="AE570" s="75"/>
      <c r="AF570" s="75"/>
      <c r="AG570" s="75"/>
    </row>
    <row r="571" spans="1:33" s="16" customFormat="1" ht="42.75" customHeight="1">
      <c r="A571" s="23" t="s">
        <v>1131</v>
      </c>
      <c r="B571" s="24" t="s">
        <v>101</v>
      </c>
      <c r="C571" s="23" t="s">
        <v>176</v>
      </c>
      <c r="D571" s="23" t="s">
        <v>107</v>
      </c>
      <c r="E571" s="23" t="s">
        <v>587</v>
      </c>
      <c r="F571" s="23" t="s">
        <v>262</v>
      </c>
      <c r="G571" s="58">
        <v>100</v>
      </c>
      <c r="H571" s="58">
        <f>100+10</f>
        <v>110</v>
      </c>
      <c r="I571" s="58">
        <v>110</v>
      </c>
      <c r="J571" s="77">
        <f t="shared" si="110"/>
        <v>100</v>
      </c>
      <c r="K571" s="49"/>
      <c r="L571" s="50"/>
      <c r="M571" s="72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>
        <v>300</v>
      </c>
      <c r="AA571" s="75"/>
      <c r="AB571" s="75">
        <v>100</v>
      </c>
      <c r="AC571" s="75"/>
      <c r="AD571" s="75"/>
      <c r="AE571" s="75"/>
      <c r="AF571" s="75">
        <v>10</v>
      </c>
      <c r="AG571" s="75"/>
    </row>
    <row r="572" spans="1:33" s="16" customFormat="1" ht="42.75" customHeight="1">
      <c r="A572" s="23" t="s">
        <v>1132</v>
      </c>
      <c r="B572" s="41" t="s">
        <v>1205</v>
      </c>
      <c r="C572" s="23" t="s">
        <v>176</v>
      </c>
      <c r="D572" s="23" t="s">
        <v>107</v>
      </c>
      <c r="E572" s="23" t="s">
        <v>1314</v>
      </c>
      <c r="F572" s="23"/>
      <c r="G572" s="54">
        <f t="shared" si="124"/>
        <v>0</v>
      </c>
      <c r="H572" s="54">
        <f t="shared" si="124"/>
        <v>9.4</v>
      </c>
      <c r="I572" s="54">
        <f t="shared" si="124"/>
        <v>5.8</v>
      </c>
      <c r="J572" s="77">
        <f t="shared" si="110"/>
        <v>61.702127659574465</v>
      </c>
      <c r="K572" s="49"/>
      <c r="L572" s="50"/>
      <c r="M572" s="72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  <c r="AA572" s="75"/>
      <c r="AB572" s="75"/>
      <c r="AC572" s="75"/>
      <c r="AD572" s="75"/>
      <c r="AE572" s="75"/>
      <c r="AF572" s="75"/>
      <c r="AG572" s="75"/>
    </row>
    <row r="573" spans="1:33" s="16" customFormat="1" ht="27.75" customHeight="1">
      <c r="A573" s="23" t="s">
        <v>1133</v>
      </c>
      <c r="B573" s="25" t="s">
        <v>87</v>
      </c>
      <c r="C573" s="23" t="s">
        <v>176</v>
      </c>
      <c r="D573" s="23" t="s">
        <v>107</v>
      </c>
      <c r="E573" s="23" t="s">
        <v>1314</v>
      </c>
      <c r="F573" s="23" t="s">
        <v>88</v>
      </c>
      <c r="G573" s="58">
        <f t="shared" si="124"/>
        <v>0</v>
      </c>
      <c r="H573" s="58">
        <f t="shared" si="124"/>
        <v>9.4</v>
      </c>
      <c r="I573" s="58">
        <f t="shared" si="124"/>
        <v>5.8</v>
      </c>
      <c r="J573" s="77">
        <f t="shared" si="110"/>
        <v>61.702127659574465</v>
      </c>
      <c r="K573" s="49"/>
      <c r="L573" s="50"/>
      <c r="M573" s="72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  <c r="AA573" s="75"/>
      <c r="AB573" s="75"/>
      <c r="AC573" s="75"/>
      <c r="AD573" s="75"/>
      <c r="AE573" s="75"/>
      <c r="AF573" s="75"/>
      <c r="AG573" s="75"/>
    </row>
    <row r="574" spans="1:33" s="16" customFormat="1" ht="28.5" customHeight="1">
      <c r="A574" s="23" t="s">
        <v>1134</v>
      </c>
      <c r="B574" s="25" t="s">
        <v>248</v>
      </c>
      <c r="C574" s="23" t="s">
        <v>176</v>
      </c>
      <c r="D574" s="23" t="s">
        <v>107</v>
      </c>
      <c r="E574" s="23" t="s">
        <v>1314</v>
      </c>
      <c r="F574" s="23" t="s">
        <v>249</v>
      </c>
      <c r="G574" s="58">
        <v>0</v>
      </c>
      <c r="H574" s="58">
        <v>9.4</v>
      </c>
      <c r="I574" s="58">
        <v>5.8</v>
      </c>
      <c r="J574" s="77">
        <f t="shared" si="110"/>
        <v>61.702127659574465</v>
      </c>
      <c r="K574" s="49"/>
      <c r="L574" s="50"/>
      <c r="M574" s="72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  <c r="AA574" s="75"/>
      <c r="AB574" s="75"/>
      <c r="AC574" s="75"/>
      <c r="AD574" s="75"/>
      <c r="AE574" s="75">
        <v>9.3</v>
      </c>
      <c r="AF574" s="75"/>
      <c r="AG574" s="75"/>
    </row>
    <row r="575" spans="1:33" s="16" customFormat="1" ht="72" customHeight="1">
      <c r="A575" s="23" t="s">
        <v>1135</v>
      </c>
      <c r="B575" s="25" t="s">
        <v>581</v>
      </c>
      <c r="C575" s="23" t="s">
        <v>176</v>
      </c>
      <c r="D575" s="23" t="s">
        <v>107</v>
      </c>
      <c r="E575" s="99" t="s">
        <v>582</v>
      </c>
      <c r="F575" s="23"/>
      <c r="G575" s="58">
        <f>SUM(G576+G578)</f>
        <v>871.3</v>
      </c>
      <c r="H575" s="58">
        <f>SUM(H576+H578)</f>
        <v>896.5</v>
      </c>
      <c r="I575" s="58">
        <f>SUM(I576+I578)</f>
        <v>896.5</v>
      </c>
      <c r="J575" s="77">
        <f aca="true" t="shared" si="125" ref="J575:J638">I575/H575*100</f>
        <v>100</v>
      </c>
      <c r="K575" s="49"/>
      <c r="L575" s="50"/>
      <c r="M575" s="72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  <c r="AA575" s="75">
        <v>737.2</v>
      </c>
      <c r="AB575" s="75"/>
      <c r="AC575" s="75">
        <v>871.3</v>
      </c>
      <c r="AD575" s="75"/>
      <c r="AE575" s="75"/>
      <c r="AF575" s="75"/>
      <c r="AG575" s="75"/>
    </row>
    <row r="576" spans="1:33" s="16" customFormat="1" ht="59.25" customHeight="1">
      <c r="A576" s="23" t="s">
        <v>1136</v>
      </c>
      <c r="B576" s="25" t="s">
        <v>181</v>
      </c>
      <c r="C576" s="23" t="s">
        <v>176</v>
      </c>
      <c r="D576" s="23" t="s">
        <v>107</v>
      </c>
      <c r="E576" s="99" t="s">
        <v>582</v>
      </c>
      <c r="F576" s="23" t="s">
        <v>179</v>
      </c>
      <c r="G576" s="58">
        <f>SUM(G577)</f>
        <v>801.4</v>
      </c>
      <c r="H576" s="58">
        <f>SUM(H577)</f>
        <v>826.6</v>
      </c>
      <c r="I576" s="58">
        <f>SUM(I577)</f>
        <v>826.6</v>
      </c>
      <c r="J576" s="77">
        <f t="shared" si="125"/>
        <v>100</v>
      </c>
      <c r="K576" s="49"/>
      <c r="L576" s="50"/>
      <c r="M576" s="72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  <c r="AA576" s="75"/>
      <c r="AB576" s="75"/>
      <c r="AC576" s="75"/>
      <c r="AD576" s="75"/>
      <c r="AE576" s="75"/>
      <c r="AF576" s="75"/>
      <c r="AG576" s="75"/>
    </row>
    <row r="577" spans="1:33" s="16" customFormat="1" ht="30.75" customHeight="1">
      <c r="A577" s="23" t="s">
        <v>1137</v>
      </c>
      <c r="B577" s="25" t="s">
        <v>300</v>
      </c>
      <c r="C577" s="23" t="s">
        <v>176</v>
      </c>
      <c r="D577" s="23" t="s">
        <v>107</v>
      </c>
      <c r="E577" s="99" t="s">
        <v>582</v>
      </c>
      <c r="F577" s="23" t="s">
        <v>180</v>
      </c>
      <c r="G577" s="58">
        <v>801.4</v>
      </c>
      <c r="H577" s="58">
        <f>801.4+25.2</f>
        <v>826.6</v>
      </c>
      <c r="I577" s="58">
        <v>826.6</v>
      </c>
      <c r="J577" s="77">
        <f t="shared" si="125"/>
        <v>100</v>
      </c>
      <c r="K577" s="49"/>
      <c r="L577" s="50"/>
      <c r="M577" s="72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5"/>
      <c r="AB577" s="75"/>
      <c r="AC577" s="75"/>
      <c r="AD577" s="75"/>
      <c r="AE577" s="75"/>
      <c r="AF577" s="75"/>
      <c r="AG577" s="75"/>
    </row>
    <row r="578" spans="1:33" s="16" customFormat="1" ht="33" customHeight="1">
      <c r="A578" s="23" t="s">
        <v>448</v>
      </c>
      <c r="B578" s="22" t="s">
        <v>144</v>
      </c>
      <c r="C578" s="23" t="s">
        <v>176</v>
      </c>
      <c r="D578" s="23" t="s">
        <v>107</v>
      </c>
      <c r="E578" s="99" t="s">
        <v>582</v>
      </c>
      <c r="F578" s="23" t="s">
        <v>109</v>
      </c>
      <c r="G578" s="58">
        <f>SUM(G579)</f>
        <v>69.9</v>
      </c>
      <c r="H578" s="58">
        <f>SUM(H579)</f>
        <v>69.9</v>
      </c>
      <c r="I578" s="58">
        <f>SUM(I579)</f>
        <v>69.9</v>
      </c>
      <c r="J578" s="77">
        <f t="shared" si="125"/>
        <v>100</v>
      </c>
      <c r="K578" s="49"/>
      <c r="L578" s="50"/>
      <c r="M578" s="72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  <c r="AA578" s="75"/>
      <c r="AB578" s="75"/>
      <c r="AC578" s="75"/>
      <c r="AD578" s="75"/>
      <c r="AE578" s="75"/>
      <c r="AF578" s="75"/>
      <c r="AG578" s="75"/>
    </row>
    <row r="579" spans="1:33" s="16" customFormat="1" ht="31.5" customHeight="1">
      <c r="A579" s="23" t="s">
        <v>399</v>
      </c>
      <c r="B579" s="22" t="s">
        <v>145</v>
      </c>
      <c r="C579" s="23" t="s">
        <v>176</v>
      </c>
      <c r="D579" s="23" t="s">
        <v>107</v>
      </c>
      <c r="E579" s="99" t="s">
        <v>582</v>
      </c>
      <c r="F579" s="23" t="s">
        <v>102</v>
      </c>
      <c r="G579" s="58">
        <v>69.9</v>
      </c>
      <c r="H579" s="58">
        <v>69.9</v>
      </c>
      <c r="I579" s="58">
        <v>69.9</v>
      </c>
      <c r="J579" s="77">
        <f t="shared" si="125"/>
        <v>100</v>
      </c>
      <c r="K579" s="49"/>
      <c r="L579" s="50"/>
      <c r="M579" s="72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  <c r="AA579" s="75"/>
      <c r="AB579" s="75"/>
      <c r="AC579" s="75"/>
      <c r="AD579" s="75"/>
      <c r="AE579" s="75"/>
      <c r="AF579" s="75"/>
      <c r="AG579" s="75"/>
    </row>
    <row r="580" spans="1:33" s="16" customFormat="1" ht="18" customHeight="1">
      <c r="A580" s="23" t="s">
        <v>400</v>
      </c>
      <c r="B580" s="30" t="s">
        <v>205</v>
      </c>
      <c r="C580" s="31" t="s">
        <v>176</v>
      </c>
      <c r="D580" s="31" t="s">
        <v>206</v>
      </c>
      <c r="E580" s="31"/>
      <c r="F580" s="31"/>
      <c r="G580" s="79">
        <f aca="true" t="shared" si="126" ref="G580:I582">G581</f>
        <v>7782.3</v>
      </c>
      <c r="H580" s="79">
        <f t="shared" si="126"/>
        <v>8387.2</v>
      </c>
      <c r="I580" s="79">
        <f t="shared" si="126"/>
        <v>7751.5</v>
      </c>
      <c r="J580" s="77">
        <f t="shared" si="125"/>
        <v>92.42059328500571</v>
      </c>
      <c r="K580" s="49"/>
      <c r="L580" s="50"/>
      <c r="M580" s="72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  <c r="AA580" s="75"/>
      <c r="AB580" s="75"/>
      <c r="AC580" s="75"/>
      <c r="AD580" s="75"/>
      <c r="AE580" s="75"/>
      <c r="AF580" s="75"/>
      <c r="AG580" s="75"/>
    </row>
    <row r="581" spans="1:33" s="16" customFormat="1" ht="21.75" customHeight="1">
      <c r="A581" s="23" t="s">
        <v>1138</v>
      </c>
      <c r="B581" s="38" t="s">
        <v>207</v>
      </c>
      <c r="C581" s="36" t="s">
        <v>176</v>
      </c>
      <c r="D581" s="36" t="s">
        <v>208</v>
      </c>
      <c r="E581" s="36"/>
      <c r="F581" s="36"/>
      <c r="G581" s="80">
        <f t="shared" si="126"/>
        <v>7782.3</v>
      </c>
      <c r="H581" s="80">
        <f t="shared" si="126"/>
        <v>8387.2</v>
      </c>
      <c r="I581" s="80">
        <f t="shared" si="126"/>
        <v>7751.5</v>
      </c>
      <c r="J581" s="77">
        <f t="shared" si="125"/>
        <v>92.42059328500571</v>
      </c>
      <c r="K581" s="49"/>
      <c r="L581" s="50"/>
      <c r="M581" s="72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  <c r="AA581" s="75"/>
      <c r="AB581" s="75"/>
      <c r="AC581" s="75"/>
      <c r="AD581" s="75"/>
      <c r="AE581" s="75"/>
      <c r="AF581" s="75"/>
      <c r="AG581" s="75"/>
    </row>
    <row r="582" spans="1:33" s="16" customFormat="1" ht="30.75" customHeight="1">
      <c r="A582" s="23" t="s">
        <v>1139</v>
      </c>
      <c r="B582" s="22" t="s">
        <v>297</v>
      </c>
      <c r="C582" s="23" t="s">
        <v>176</v>
      </c>
      <c r="D582" s="23" t="s">
        <v>208</v>
      </c>
      <c r="E582" s="23" t="s">
        <v>349</v>
      </c>
      <c r="F582" s="23"/>
      <c r="G582" s="58">
        <f t="shared" si="126"/>
        <v>7782.3</v>
      </c>
      <c r="H582" s="58">
        <f t="shared" si="126"/>
        <v>8387.2</v>
      </c>
      <c r="I582" s="58">
        <f t="shared" si="126"/>
        <v>7751.5</v>
      </c>
      <c r="J582" s="77">
        <f t="shared" si="125"/>
        <v>92.42059328500571</v>
      </c>
      <c r="K582" s="49"/>
      <c r="L582" s="50"/>
      <c r="M582" s="72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  <c r="AA582" s="75"/>
      <c r="AB582" s="75"/>
      <c r="AC582" s="75"/>
      <c r="AD582" s="75"/>
      <c r="AE582" s="75"/>
      <c r="AF582" s="75"/>
      <c r="AG582" s="75"/>
    </row>
    <row r="583" spans="1:33" s="16" customFormat="1" ht="25.5">
      <c r="A583" s="23" t="s">
        <v>1140</v>
      </c>
      <c r="B583" s="22" t="s">
        <v>209</v>
      </c>
      <c r="C583" s="23" t="s">
        <v>176</v>
      </c>
      <c r="D583" s="23" t="s">
        <v>208</v>
      </c>
      <c r="E583" s="23" t="s">
        <v>355</v>
      </c>
      <c r="F583" s="23"/>
      <c r="G583" s="58">
        <f>G596+G584+G587+G601+G593+G590</f>
        <v>7782.3</v>
      </c>
      <c r="H583" s="58">
        <f>H596+H584+H587+H601+H593+H590</f>
        <v>8387.2</v>
      </c>
      <c r="I583" s="58">
        <f>I596+I584+I587+I601+I593+I590</f>
        <v>7751.5</v>
      </c>
      <c r="J583" s="77">
        <f t="shared" si="125"/>
        <v>92.42059328500571</v>
      </c>
      <c r="K583" s="49"/>
      <c r="L583" s="50"/>
      <c r="M583" s="72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  <c r="AA583" s="75"/>
      <c r="AB583" s="75"/>
      <c r="AC583" s="75"/>
      <c r="AD583" s="75"/>
      <c r="AE583" s="75"/>
      <c r="AF583" s="75"/>
      <c r="AG583" s="75"/>
    </row>
    <row r="584" spans="1:33" s="16" customFormat="1" ht="69" customHeight="1">
      <c r="A584" s="23" t="s">
        <v>1141</v>
      </c>
      <c r="B584" s="22" t="s">
        <v>779</v>
      </c>
      <c r="C584" s="23" t="s">
        <v>176</v>
      </c>
      <c r="D584" s="23" t="s">
        <v>208</v>
      </c>
      <c r="E584" s="23" t="s">
        <v>780</v>
      </c>
      <c r="F584" s="23"/>
      <c r="G584" s="58">
        <f aca="true" t="shared" si="127" ref="G584:I585">SUM(G585)</f>
        <v>6226.3</v>
      </c>
      <c r="H584" s="58">
        <f t="shared" si="127"/>
        <v>6226.3</v>
      </c>
      <c r="I584" s="58">
        <f t="shared" si="127"/>
        <v>6226.3</v>
      </c>
      <c r="J584" s="77">
        <f t="shared" si="125"/>
        <v>100</v>
      </c>
      <c r="K584" s="49"/>
      <c r="L584" s="50"/>
      <c r="M584" s="72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  <c r="AA584" s="75"/>
      <c r="AB584" s="75"/>
      <c r="AC584" s="75"/>
      <c r="AD584" s="75"/>
      <c r="AE584" s="75"/>
      <c r="AF584" s="75"/>
      <c r="AG584" s="75"/>
    </row>
    <row r="585" spans="1:33" s="16" customFormat="1" ht="30.75" customHeight="1">
      <c r="A585" s="23" t="s">
        <v>1142</v>
      </c>
      <c r="B585" s="22" t="s">
        <v>270</v>
      </c>
      <c r="C585" s="23" t="s">
        <v>176</v>
      </c>
      <c r="D585" s="23" t="s">
        <v>208</v>
      </c>
      <c r="E585" s="23" t="s">
        <v>780</v>
      </c>
      <c r="F585" s="23" t="s">
        <v>163</v>
      </c>
      <c r="G585" s="58">
        <f t="shared" si="127"/>
        <v>6226.3</v>
      </c>
      <c r="H585" s="58">
        <f t="shared" si="127"/>
        <v>6226.3</v>
      </c>
      <c r="I585" s="58">
        <f t="shared" si="127"/>
        <v>6226.3</v>
      </c>
      <c r="J585" s="77">
        <f t="shared" si="125"/>
        <v>100</v>
      </c>
      <c r="K585" s="49"/>
      <c r="L585" s="50"/>
      <c r="M585" s="72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/>
      <c r="AB585" s="75"/>
      <c r="AC585" s="75"/>
      <c r="AD585" s="75"/>
      <c r="AE585" s="75"/>
      <c r="AF585" s="75"/>
      <c r="AG585" s="75"/>
    </row>
    <row r="586" spans="1:33" s="16" customFormat="1" ht="19.5" customHeight="1">
      <c r="A586" s="23" t="s">
        <v>1143</v>
      </c>
      <c r="B586" s="22" t="s">
        <v>165</v>
      </c>
      <c r="C586" s="23" t="s">
        <v>176</v>
      </c>
      <c r="D586" s="23" t="s">
        <v>208</v>
      </c>
      <c r="E586" s="23" t="s">
        <v>780</v>
      </c>
      <c r="F586" s="23" t="s">
        <v>164</v>
      </c>
      <c r="G586" s="58">
        <v>6226.3</v>
      </c>
      <c r="H586" s="58">
        <v>6226.3</v>
      </c>
      <c r="I586" s="58">
        <v>6226.3</v>
      </c>
      <c r="J586" s="77">
        <f t="shared" si="125"/>
        <v>100</v>
      </c>
      <c r="K586" s="49"/>
      <c r="L586" s="50"/>
      <c r="M586" s="72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>
        <v>4631</v>
      </c>
      <c r="AA586" s="75"/>
      <c r="AB586" s="75">
        <v>6226.3</v>
      </c>
      <c r="AC586" s="75"/>
      <c r="AD586" s="75"/>
      <c r="AE586" s="75"/>
      <c r="AF586" s="75"/>
      <c r="AG586" s="75"/>
    </row>
    <row r="587" spans="1:33" s="16" customFormat="1" ht="94.5" customHeight="1">
      <c r="A587" s="23" t="s">
        <v>1144</v>
      </c>
      <c r="B587" s="22" t="s">
        <v>778</v>
      </c>
      <c r="C587" s="23" t="s">
        <v>176</v>
      </c>
      <c r="D587" s="23" t="s">
        <v>208</v>
      </c>
      <c r="E587" s="23" t="s">
        <v>583</v>
      </c>
      <c r="F587" s="23"/>
      <c r="G587" s="58">
        <f aca="true" t="shared" si="128" ref="G587:I588">SUM(G588)</f>
        <v>996</v>
      </c>
      <c r="H587" s="58">
        <f t="shared" si="128"/>
        <v>996</v>
      </c>
      <c r="I587" s="58">
        <f t="shared" si="128"/>
        <v>996</v>
      </c>
      <c r="J587" s="77">
        <f t="shared" si="125"/>
        <v>100</v>
      </c>
      <c r="K587" s="49"/>
      <c r="L587" s="50"/>
      <c r="M587" s="72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s="75"/>
      <c r="AB587" s="75"/>
      <c r="AC587" s="75"/>
      <c r="AD587" s="75"/>
      <c r="AE587" s="75"/>
      <c r="AF587" s="75"/>
      <c r="AG587" s="75"/>
    </row>
    <row r="588" spans="1:33" s="16" customFormat="1" ht="30" customHeight="1">
      <c r="A588" s="23" t="s">
        <v>1145</v>
      </c>
      <c r="B588" s="22" t="s">
        <v>270</v>
      </c>
      <c r="C588" s="23" t="s">
        <v>176</v>
      </c>
      <c r="D588" s="23" t="s">
        <v>208</v>
      </c>
      <c r="E588" s="23" t="s">
        <v>583</v>
      </c>
      <c r="F588" s="23" t="s">
        <v>163</v>
      </c>
      <c r="G588" s="58">
        <f t="shared" si="128"/>
        <v>996</v>
      </c>
      <c r="H588" s="58">
        <f t="shared" si="128"/>
        <v>996</v>
      </c>
      <c r="I588" s="58">
        <f t="shared" si="128"/>
        <v>996</v>
      </c>
      <c r="J588" s="77">
        <f t="shared" si="125"/>
        <v>100</v>
      </c>
      <c r="K588" s="49"/>
      <c r="L588" s="50"/>
      <c r="M588" s="72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  <c r="AA588" s="75"/>
      <c r="AB588" s="75"/>
      <c r="AC588" s="75"/>
      <c r="AD588" s="75"/>
      <c r="AE588" s="75"/>
      <c r="AF588" s="75"/>
      <c r="AG588" s="75"/>
    </row>
    <row r="589" spans="1:33" s="16" customFormat="1" ht="19.5" customHeight="1">
      <c r="A589" s="23" t="s">
        <v>1146</v>
      </c>
      <c r="B589" s="22" t="s">
        <v>165</v>
      </c>
      <c r="C589" s="23" t="s">
        <v>176</v>
      </c>
      <c r="D589" s="23" t="s">
        <v>208</v>
      </c>
      <c r="E589" s="23" t="s">
        <v>583</v>
      </c>
      <c r="F589" s="23" t="s">
        <v>164</v>
      </c>
      <c r="G589" s="58">
        <v>996</v>
      </c>
      <c r="H589" s="58">
        <v>996</v>
      </c>
      <c r="I589" s="58">
        <v>996</v>
      </c>
      <c r="J589" s="77">
        <f t="shared" si="125"/>
        <v>100</v>
      </c>
      <c r="K589" s="49"/>
      <c r="L589" s="50"/>
      <c r="M589" s="72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>
        <v>200</v>
      </c>
      <c r="Z589" s="75">
        <v>789.1</v>
      </c>
      <c r="AA589" s="75"/>
      <c r="AB589" s="75">
        <v>996</v>
      </c>
      <c r="AC589" s="75"/>
      <c r="AD589" s="75"/>
      <c r="AE589" s="75"/>
      <c r="AF589" s="75"/>
      <c r="AG589" s="75"/>
    </row>
    <row r="590" spans="1:33" s="16" customFormat="1" ht="84.75" customHeight="1">
      <c r="A590" s="23" t="s">
        <v>1147</v>
      </c>
      <c r="B590" s="22" t="s">
        <v>1428</v>
      </c>
      <c r="C590" s="23" t="s">
        <v>176</v>
      </c>
      <c r="D590" s="23" t="s">
        <v>208</v>
      </c>
      <c r="E590" s="23" t="s">
        <v>1429</v>
      </c>
      <c r="F590" s="23"/>
      <c r="G590" s="58">
        <f aca="true" t="shared" si="129" ref="G590:I591">SUM(G591)</f>
        <v>0</v>
      </c>
      <c r="H590" s="58">
        <f t="shared" si="129"/>
        <v>180</v>
      </c>
      <c r="I590" s="58">
        <f t="shared" si="129"/>
        <v>180</v>
      </c>
      <c r="J590" s="77">
        <f t="shared" si="125"/>
        <v>100</v>
      </c>
      <c r="K590" s="49"/>
      <c r="L590" s="50"/>
      <c r="M590" s="72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  <c r="AB590" s="75"/>
      <c r="AC590" s="75"/>
      <c r="AD590" s="75"/>
      <c r="AE590" s="75"/>
      <c r="AF590" s="75"/>
      <c r="AG590" s="75"/>
    </row>
    <row r="591" spans="1:33" s="16" customFormat="1" ht="48.75" customHeight="1">
      <c r="A591" s="23" t="s">
        <v>1148</v>
      </c>
      <c r="B591" s="22" t="s">
        <v>270</v>
      </c>
      <c r="C591" s="23" t="s">
        <v>176</v>
      </c>
      <c r="D591" s="23" t="s">
        <v>208</v>
      </c>
      <c r="E591" s="23" t="s">
        <v>1429</v>
      </c>
      <c r="F591" s="23" t="s">
        <v>163</v>
      </c>
      <c r="G591" s="58">
        <f t="shared" si="129"/>
        <v>0</v>
      </c>
      <c r="H591" s="58">
        <f t="shared" si="129"/>
        <v>180</v>
      </c>
      <c r="I591" s="58">
        <f t="shared" si="129"/>
        <v>180</v>
      </c>
      <c r="J591" s="77">
        <f t="shared" si="125"/>
        <v>100</v>
      </c>
      <c r="K591" s="49"/>
      <c r="L591" s="50"/>
      <c r="M591" s="72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  <c r="AA591" s="75"/>
      <c r="AB591" s="75"/>
      <c r="AC591" s="75"/>
      <c r="AD591" s="75"/>
      <c r="AE591" s="75"/>
      <c r="AF591" s="75"/>
      <c r="AG591" s="75"/>
    </row>
    <row r="592" spans="1:33" s="16" customFormat="1" ht="19.5" customHeight="1">
      <c r="A592" s="23" t="s">
        <v>1149</v>
      </c>
      <c r="B592" s="22" t="s">
        <v>165</v>
      </c>
      <c r="C592" s="23" t="s">
        <v>176</v>
      </c>
      <c r="D592" s="23" t="s">
        <v>208</v>
      </c>
      <c r="E592" s="23" t="s">
        <v>1429</v>
      </c>
      <c r="F592" s="23" t="s">
        <v>164</v>
      </c>
      <c r="G592" s="58">
        <v>0</v>
      </c>
      <c r="H592" s="58">
        <v>180</v>
      </c>
      <c r="I592" s="58">
        <v>180</v>
      </c>
      <c r="J592" s="77">
        <f t="shared" si="125"/>
        <v>100</v>
      </c>
      <c r="K592" s="49"/>
      <c r="L592" s="50"/>
      <c r="M592" s="72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  <c r="AA592" s="75"/>
      <c r="AB592" s="75"/>
      <c r="AC592" s="75"/>
      <c r="AD592" s="75"/>
      <c r="AE592" s="75"/>
      <c r="AF592" s="75"/>
      <c r="AG592" s="75"/>
    </row>
    <row r="593" spans="1:33" s="16" customFormat="1" ht="90" customHeight="1">
      <c r="A593" s="23" t="s">
        <v>848</v>
      </c>
      <c r="B593" s="22" t="s">
        <v>1309</v>
      </c>
      <c r="C593" s="23" t="s">
        <v>176</v>
      </c>
      <c r="D593" s="23" t="s">
        <v>208</v>
      </c>
      <c r="E593" s="23" t="s">
        <v>1310</v>
      </c>
      <c r="F593" s="23"/>
      <c r="G593" s="58">
        <f aca="true" t="shared" si="130" ref="G593:I594">SUM(G594)</f>
        <v>0</v>
      </c>
      <c r="H593" s="58">
        <f t="shared" si="130"/>
        <v>634.9</v>
      </c>
      <c r="I593" s="58">
        <f t="shared" si="130"/>
        <v>0</v>
      </c>
      <c r="J593" s="77">
        <f t="shared" si="125"/>
        <v>0</v>
      </c>
      <c r="K593" s="49"/>
      <c r="L593" s="50"/>
      <c r="M593" s="72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  <c r="AA593" s="75"/>
      <c r="AB593" s="75"/>
      <c r="AC593" s="75"/>
      <c r="AD593" s="75"/>
      <c r="AE593" s="75"/>
      <c r="AF593" s="75"/>
      <c r="AG593" s="75"/>
    </row>
    <row r="594" spans="1:33" s="16" customFormat="1" ht="41.25" customHeight="1">
      <c r="A594" s="23" t="s">
        <v>849</v>
      </c>
      <c r="B594" s="22" t="s">
        <v>270</v>
      </c>
      <c r="C594" s="23" t="s">
        <v>176</v>
      </c>
      <c r="D594" s="23" t="s">
        <v>208</v>
      </c>
      <c r="E594" s="23" t="s">
        <v>1310</v>
      </c>
      <c r="F594" s="23" t="s">
        <v>163</v>
      </c>
      <c r="G594" s="58">
        <f t="shared" si="130"/>
        <v>0</v>
      </c>
      <c r="H594" s="58">
        <f t="shared" si="130"/>
        <v>634.9</v>
      </c>
      <c r="I594" s="58">
        <f t="shared" si="130"/>
        <v>0</v>
      </c>
      <c r="J594" s="77">
        <f t="shared" si="125"/>
        <v>0</v>
      </c>
      <c r="K594" s="49"/>
      <c r="L594" s="50"/>
      <c r="M594" s="72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  <c r="AB594" s="75"/>
      <c r="AC594" s="75"/>
      <c r="AD594" s="75"/>
      <c r="AE594" s="75"/>
      <c r="AF594" s="75"/>
      <c r="AG594" s="75"/>
    </row>
    <row r="595" spans="1:33" s="16" customFormat="1" ht="19.5" customHeight="1">
      <c r="A595" s="23" t="s">
        <v>850</v>
      </c>
      <c r="B595" s="22" t="s">
        <v>165</v>
      </c>
      <c r="C595" s="23" t="s">
        <v>176</v>
      </c>
      <c r="D595" s="23" t="s">
        <v>208</v>
      </c>
      <c r="E595" s="23" t="s">
        <v>1310</v>
      </c>
      <c r="F595" s="23" t="s">
        <v>164</v>
      </c>
      <c r="G595" s="58">
        <v>0</v>
      </c>
      <c r="H595" s="58">
        <v>634.9</v>
      </c>
      <c r="I595" s="58">
        <v>0</v>
      </c>
      <c r="J595" s="77">
        <f t="shared" si="125"/>
        <v>0</v>
      </c>
      <c r="K595" s="49"/>
      <c r="L595" s="50"/>
      <c r="M595" s="72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  <c r="AA595" s="75"/>
      <c r="AB595" s="75"/>
      <c r="AC595" s="75"/>
      <c r="AD595" s="75">
        <v>634.9</v>
      </c>
      <c r="AE595" s="75"/>
      <c r="AF595" s="75"/>
      <c r="AG595" s="75"/>
    </row>
    <row r="596" spans="1:33" s="16" customFormat="1" ht="69" customHeight="1">
      <c r="A596" s="23" t="s">
        <v>394</v>
      </c>
      <c r="B596" s="22" t="s">
        <v>298</v>
      </c>
      <c r="C596" s="23" t="s">
        <v>176</v>
      </c>
      <c r="D596" s="23" t="s">
        <v>208</v>
      </c>
      <c r="E596" s="23" t="s">
        <v>777</v>
      </c>
      <c r="F596" s="23"/>
      <c r="G596" s="58">
        <f>G599+G597</f>
        <v>350</v>
      </c>
      <c r="H596" s="58">
        <f>H599+H597</f>
        <v>350</v>
      </c>
      <c r="I596" s="58">
        <f>I599+I597</f>
        <v>349.2</v>
      </c>
      <c r="J596" s="77">
        <f t="shared" si="125"/>
        <v>99.77142857142857</v>
      </c>
      <c r="K596" s="49"/>
      <c r="L596" s="50"/>
      <c r="M596" s="72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>
        <v>300</v>
      </c>
      <c r="AA596" s="75"/>
      <c r="AB596" s="75">
        <v>350</v>
      </c>
      <c r="AC596" s="75"/>
      <c r="AD596" s="75"/>
      <c r="AE596" s="75"/>
      <c r="AF596" s="75"/>
      <c r="AG596" s="75"/>
    </row>
    <row r="597" spans="1:33" s="16" customFormat="1" ht="59.25" customHeight="1">
      <c r="A597" s="23" t="s">
        <v>926</v>
      </c>
      <c r="B597" s="25" t="s">
        <v>181</v>
      </c>
      <c r="C597" s="23" t="s">
        <v>176</v>
      </c>
      <c r="D597" s="23" t="s">
        <v>208</v>
      </c>
      <c r="E597" s="23" t="s">
        <v>777</v>
      </c>
      <c r="F597" s="23" t="s">
        <v>179</v>
      </c>
      <c r="G597" s="58">
        <f>G598</f>
        <v>290</v>
      </c>
      <c r="H597" s="58">
        <f>H598</f>
        <v>282</v>
      </c>
      <c r="I597" s="58">
        <f>I598</f>
        <v>282</v>
      </c>
      <c r="J597" s="77">
        <f t="shared" si="125"/>
        <v>100</v>
      </c>
      <c r="K597" s="49"/>
      <c r="L597" s="50"/>
      <c r="M597" s="72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  <c r="AA597" s="75"/>
      <c r="AB597" s="75"/>
      <c r="AC597" s="75"/>
      <c r="AD597" s="75"/>
      <c r="AE597" s="75"/>
      <c r="AF597" s="75"/>
      <c r="AG597" s="75"/>
    </row>
    <row r="598" spans="1:33" s="16" customFormat="1" ht="33.75" customHeight="1">
      <c r="A598" s="23" t="s">
        <v>927</v>
      </c>
      <c r="B598" s="25" t="s">
        <v>300</v>
      </c>
      <c r="C598" s="23" t="s">
        <v>176</v>
      </c>
      <c r="D598" s="23" t="s">
        <v>208</v>
      </c>
      <c r="E598" s="23" t="s">
        <v>777</v>
      </c>
      <c r="F598" s="23" t="s">
        <v>180</v>
      </c>
      <c r="G598" s="58">
        <v>290</v>
      </c>
      <c r="H598" s="58">
        <f>290-3-5</f>
        <v>282</v>
      </c>
      <c r="I598" s="58">
        <v>282</v>
      </c>
      <c r="J598" s="77">
        <f t="shared" si="125"/>
        <v>100</v>
      </c>
      <c r="K598" s="49"/>
      <c r="L598" s="50"/>
      <c r="M598" s="72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  <c r="AA598" s="75"/>
      <c r="AB598" s="75"/>
      <c r="AC598" s="75"/>
      <c r="AD598" s="75"/>
      <c r="AE598" s="75">
        <v>-3</v>
      </c>
      <c r="AF598" s="75"/>
      <c r="AG598" s="75"/>
    </row>
    <row r="599" spans="1:33" s="16" customFormat="1" ht="33" customHeight="1">
      <c r="A599" s="23" t="s">
        <v>928</v>
      </c>
      <c r="B599" s="22" t="s">
        <v>144</v>
      </c>
      <c r="C599" s="23" t="s">
        <v>176</v>
      </c>
      <c r="D599" s="23" t="s">
        <v>208</v>
      </c>
      <c r="E599" s="23" t="s">
        <v>777</v>
      </c>
      <c r="F599" s="23" t="s">
        <v>109</v>
      </c>
      <c r="G599" s="58">
        <f>G600</f>
        <v>60</v>
      </c>
      <c r="H599" s="58">
        <f>H600</f>
        <v>68</v>
      </c>
      <c r="I599" s="58">
        <f>I600</f>
        <v>67.2</v>
      </c>
      <c r="J599" s="77">
        <f t="shared" si="125"/>
        <v>98.82352941176471</v>
      </c>
      <c r="K599" s="49"/>
      <c r="L599" s="50"/>
      <c r="M599" s="72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  <c r="AA599" s="75"/>
      <c r="AB599" s="75"/>
      <c r="AC599" s="75"/>
      <c r="AD599" s="75"/>
      <c r="AE599" s="75"/>
      <c r="AF599" s="75"/>
      <c r="AG599" s="75"/>
    </row>
    <row r="600" spans="1:33" s="16" customFormat="1" ht="33.75" customHeight="1">
      <c r="A600" s="23" t="s">
        <v>712</v>
      </c>
      <c r="B600" s="22" t="s">
        <v>145</v>
      </c>
      <c r="C600" s="23" t="s">
        <v>176</v>
      </c>
      <c r="D600" s="23" t="s">
        <v>208</v>
      </c>
      <c r="E600" s="23" t="s">
        <v>777</v>
      </c>
      <c r="F600" s="23" t="s">
        <v>102</v>
      </c>
      <c r="G600" s="58">
        <v>60</v>
      </c>
      <c r="H600" s="58">
        <f>60+3+5</f>
        <v>68</v>
      </c>
      <c r="I600" s="58">
        <v>67.2</v>
      </c>
      <c r="J600" s="77">
        <f t="shared" si="125"/>
        <v>98.82352941176471</v>
      </c>
      <c r="K600" s="49"/>
      <c r="L600" s="50"/>
      <c r="M600" s="72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>
        <v>21</v>
      </c>
      <c r="Y600" s="75"/>
      <c r="Z600" s="75"/>
      <c r="AA600" s="75"/>
      <c r="AB600" s="75"/>
      <c r="AC600" s="75"/>
      <c r="AD600" s="75"/>
      <c r="AE600" s="75">
        <v>3</v>
      </c>
      <c r="AF600" s="75"/>
      <c r="AG600" s="75"/>
    </row>
    <row r="601" spans="1:33" s="16" customFormat="1" ht="87.75" customHeight="1">
      <c r="A601" s="23" t="s">
        <v>713</v>
      </c>
      <c r="B601" s="22" t="s">
        <v>590</v>
      </c>
      <c r="C601" s="23" t="s">
        <v>176</v>
      </c>
      <c r="D601" s="23" t="s">
        <v>208</v>
      </c>
      <c r="E601" s="23" t="s">
        <v>567</v>
      </c>
      <c r="F601" s="23"/>
      <c r="G601" s="58">
        <f aca="true" t="shared" si="131" ref="G601:I602">SUM(G602)</f>
        <v>210</v>
      </c>
      <c r="H601" s="58">
        <f t="shared" si="131"/>
        <v>0</v>
      </c>
      <c r="I601" s="58">
        <f t="shared" si="131"/>
        <v>0</v>
      </c>
      <c r="J601" s="77" t="e">
        <f t="shared" si="125"/>
        <v>#DIV/0!</v>
      </c>
      <c r="K601" s="46">
        <f>SUM(K602:K619)</f>
        <v>0</v>
      </c>
      <c r="L601" s="46">
        <f>SUM(L602:L619)</f>
        <v>2730.7</v>
      </c>
      <c r="M601" s="72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>
        <f>SUM(X602:X619)</f>
        <v>0</v>
      </c>
      <c r="Y601" s="75">
        <f>SUM(Y602:Y619)</f>
        <v>0</v>
      </c>
      <c r="Z601" s="75"/>
      <c r="AA601" s="75"/>
      <c r="AB601" s="75"/>
      <c r="AC601" s="75"/>
      <c r="AD601" s="75"/>
      <c r="AE601" s="75"/>
      <c r="AF601" s="75"/>
      <c r="AG601" s="75"/>
    </row>
    <row r="602" spans="1:33" s="16" customFormat="1" ht="32.25" customHeight="1">
      <c r="A602" s="23" t="s">
        <v>714</v>
      </c>
      <c r="B602" s="22" t="s">
        <v>270</v>
      </c>
      <c r="C602" s="23" t="s">
        <v>176</v>
      </c>
      <c r="D602" s="23" t="s">
        <v>208</v>
      </c>
      <c r="E602" s="23" t="s">
        <v>567</v>
      </c>
      <c r="F602" s="23" t="s">
        <v>163</v>
      </c>
      <c r="G602" s="58">
        <f t="shared" si="131"/>
        <v>210</v>
      </c>
      <c r="H602" s="58">
        <f t="shared" si="131"/>
        <v>0</v>
      </c>
      <c r="I602" s="58">
        <f t="shared" si="131"/>
        <v>0</v>
      </c>
      <c r="J602" s="77" t="e">
        <f t="shared" si="125"/>
        <v>#DIV/0!</v>
      </c>
      <c r="K602" s="49"/>
      <c r="L602" s="50"/>
      <c r="M602" s="72"/>
      <c r="N602" s="75"/>
      <c r="O602" s="75"/>
      <c r="P602" s="75"/>
      <c r="Q602" s="75"/>
      <c r="R602" s="75"/>
      <c r="S602" s="75"/>
      <c r="T602" s="75"/>
      <c r="U602" s="75">
        <v>2782.8</v>
      </c>
      <c r="V602" s="75"/>
      <c r="W602" s="75"/>
      <c r="X602" s="75"/>
      <c r="Y602" s="75"/>
      <c r="Z602" s="75"/>
      <c r="AA602" s="75"/>
      <c r="AB602" s="75"/>
      <c r="AC602" s="75"/>
      <c r="AD602" s="75"/>
      <c r="AE602" s="75"/>
      <c r="AF602" s="75"/>
      <c r="AG602" s="75"/>
    </row>
    <row r="603" spans="1:33" s="16" customFormat="1" ht="19.5" customHeight="1">
      <c r="A603" s="23" t="s">
        <v>715</v>
      </c>
      <c r="B603" s="22" t="s">
        <v>165</v>
      </c>
      <c r="C603" s="23" t="s">
        <v>176</v>
      </c>
      <c r="D603" s="23" t="s">
        <v>208</v>
      </c>
      <c r="E603" s="23" t="s">
        <v>567</v>
      </c>
      <c r="F603" s="23" t="s">
        <v>164</v>
      </c>
      <c r="G603" s="58">
        <v>210</v>
      </c>
      <c r="H603" s="58">
        <f>210-210</f>
        <v>0</v>
      </c>
      <c r="I603" s="58">
        <v>0</v>
      </c>
      <c r="J603" s="77" t="e">
        <f t="shared" si="125"/>
        <v>#DIV/0!</v>
      </c>
      <c r="K603" s="49"/>
      <c r="L603" s="50"/>
      <c r="M603" s="72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>
        <v>210</v>
      </c>
      <c r="AA603" s="75"/>
      <c r="AB603" s="75">
        <v>210</v>
      </c>
      <c r="AC603" s="75"/>
      <c r="AD603" s="75"/>
      <c r="AE603" s="75"/>
      <c r="AF603" s="75">
        <v>-210</v>
      </c>
      <c r="AG603" s="75"/>
    </row>
    <row r="604" spans="1:33" s="15" customFormat="1" ht="22.5" customHeight="1">
      <c r="A604" s="23" t="s">
        <v>716</v>
      </c>
      <c r="B604" s="34" t="s">
        <v>265</v>
      </c>
      <c r="C604" s="31" t="s">
        <v>213</v>
      </c>
      <c r="D604" s="31"/>
      <c r="E604" s="31"/>
      <c r="F604" s="31"/>
      <c r="G604" s="77">
        <f>G612+G605</f>
        <v>3493.9999999999995</v>
      </c>
      <c r="H604" s="77">
        <f>H612+H605</f>
        <v>4394</v>
      </c>
      <c r="I604" s="77">
        <f>I612+I605</f>
        <v>4357</v>
      </c>
      <c r="J604" s="77">
        <f t="shared" si="125"/>
        <v>99.15794264906691</v>
      </c>
      <c r="K604" s="47"/>
      <c r="L604" s="48">
        <v>2730.7</v>
      </c>
      <c r="M604" s="86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65">
        <f>SUM(Z612:Z622)</f>
        <v>2998.8</v>
      </c>
      <c r="AA604" s="65">
        <f>SUM(AA612:AA622)</f>
        <v>0</v>
      </c>
      <c r="AB604" s="65">
        <f>AB613</f>
        <v>3494</v>
      </c>
      <c r="AC604" s="83"/>
      <c r="AD604" s="65">
        <f>SUM(AD612:AD622)</f>
        <v>0</v>
      </c>
      <c r="AE604" s="65">
        <f>SUM(AE612:AE622)</f>
        <v>0</v>
      </c>
      <c r="AF604" s="83"/>
      <c r="AG604" s="83"/>
    </row>
    <row r="605" spans="1:33" s="15" customFormat="1" ht="22.5" customHeight="1">
      <c r="A605" s="23" t="s">
        <v>717</v>
      </c>
      <c r="B605" s="34" t="s">
        <v>215</v>
      </c>
      <c r="C605" s="31" t="s">
        <v>213</v>
      </c>
      <c r="D605" s="31" t="s">
        <v>177</v>
      </c>
      <c r="E605" s="31"/>
      <c r="F605" s="31"/>
      <c r="G605" s="77">
        <f aca="true" t="shared" si="132" ref="G605:I610">G606</f>
        <v>0</v>
      </c>
      <c r="H605" s="77">
        <f t="shared" si="132"/>
        <v>900</v>
      </c>
      <c r="I605" s="77">
        <f t="shared" si="132"/>
        <v>892.2</v>
      </c>
      <c r="J605" s="77">
        <f t="shared" si="125"/>
        <v>99.13333333333334</v>
      </c>
      <c r="K605" s="47"/>
      <c r="L605" s="48"/>
      <c r="M605" s="86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65"/>
      <c r="AA605" s="65"/>
      <c r="AB605" s="65"/>
      <c r="AC605" s="83"/>
      <c r="AD605" s="65"/>
      <c r="AE605" s="65"/>
      <c r="AF605" s="83"/>
      <c r="AG605" s="83"/>
    </row>
    <row r="606" spans="1:33" s="15" customFormat="1" ht="54" customHeight="1">
      <c r="A606" s="23" t="s">
        <v>718</v>
      </c>
      <c r="B606" s="35" t="s">
        <v>203</v>
      </c>
      <c r="C606" s="23" t="s">
        <v>213</v>
      </c>
      <c r="D606" s="36" t="s">
        <v>221</v>
      </c>
      <c r="E606" s="36"/>
      <c r="F606" s="36"/>
      <c r="G606" s="78">
        <f t="shared" si="132"/>
        <v>0</v>
      </c>
      <c r="H606" s="78">
        <f t="shared" si="132"/>
        <v>900</v>
      </c>
      <c r="I606" s="78">
        <f t="shared" si="132"/>
        <v>892.2</v>
      </c>
      <c r="J606" s="77">
        <f t="shared" si="125"/>
        <v>99.13333333333334</v>
      </c>
      <c r="K606" s="47"/>
      <c r="L606" s="48"/>
      <c r="M606" s="86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65"/>
      <c r="AA606" s="65"/>
      <c r="AB606" s="65"/>
      <c r="AC606" s="83"/>
      <c r="AD606" s="65"/>
      <c r="AE606" s="65"/>
      <c r="AF606" s="83"/>
      <c r="AG606" s="83"/>
    </row>
    <row r="607" spans="1:33" s="15" customFormat="1" ht="49.5" customHeight="1">
      <c r="A607" s="23" t="s">
        <v>719</v>
      </c>
      <c r="B607" s="24" t="s">
        <v>293</v>
      </c>
      <c r="C607" s="23" t="s">
        <v>213</v>
      </c>
      <c r="D607" s="23" t="s">
        <v>221</v>
      </c>
      <c r="E607" s="23" t="s">
        <v>363</v>
      </c>
      <c r="F607" s="36"/>
      <c r="G607" s="54">
        <f t="shared" si="132"/>
        <v>0</v>
      </c>
      <c r="H607" s="54">
        <f t="shared" si="132"/>
        <v>900</v>
      </c>
      <c r="I607" s="54">
        <f t="shared" si="132"/>
        <v>892.2</v>
      </c>
      <c r="J607" s="77">
        <f t="shared" si="125"/>
        <v>99.13333333333334</v>
      </c>
      <c r="K607" s="47"/>
      <c r="L607" s="48"/>
      <c r="M607" s="86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65"/>
      <c r="AA607" s="65"/>
      <c r="AB607" s="65"/>
      <c r="AC607" s="83"/>
      <c r="AD607" s="65"/>
      <c r="AE607" s="65"/>
      <c r="AF607" s="83"/>
      <c r="AG607" s="83"/>
    </row>
    <row r="608" spans="1:33" s="15" customFormat="1" ht="22.5" customHeight="1">
      <c r="A608" s="23" t="s">
        <v>163</v>
      </c>
      <c r="B608" s="24" t="s">
        <v>402</v>
      </c>
      <c r="C608" s="23" t="s">
        <v>213</v>
      </c>
      <c r="D608" s="23" t="s">
        <v>221</v>
      </c>
      <c r="E608" s="23" t="s">
        <v>372</v>
      </c>
      <c r="F608" s="36"/>
      <c r="G608" s="54">
        <f t="shared" si="132"/>
        <v>0</v>
      </c>
      <c r="H608" s="54">
        <f t="shared" si="132"/>
        <v>900</v>
      </c>
      <c r="I608" s="54">
        <f t="shared" si="132"/>
        <v>892.2</v>
      </c>
      <c r="J608" s="77">
        <f t="shared" si="125"/>
        <v>99.13333333333334</v>
      </c>
      <c r="K608" s="47"/>
      <c r="L608" s="48"/>
      <c r="M608" s="86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65"/>
      <c r="AA608" s="65"/>
      <c r="AB608" s="65"/>
      <c r="AC608" s="83"/>
      <c r="AD608" s="65"/>
      <c r="AE608" s="65"/>
      <c r="AF608" s="83"/>
      <c r="AG608" s="83"/>
    </row>
    <row r="609" spans="1:33" s="15" customFormat="1" ht="71.25" customHeight="1">
      <c r="A609" s="23" t="s">
        <v>91</v>
      </c>
      <c r="B609" s="24" t="s">
        <v>1336</v>
      </c>
      <c r="C609" s="23" t="s">
        <v>213</v>
      </c>
      <c r="D609" s="23" t="s">
        <v>221</v>
      </c>
      <c r="E609" s="23" t="s">
        <v>1335</v>
      </c>
      <c r="F609" s="36"/>
      <c r="G609" s="54">
        <f t="shared" si="132"/>
        <v>0</v>
      </c>
      <c r="H609" s="54">
        <f t="shared" si="132"/>
        <v>900</v>
      </c>
      <c r="I609" s="54">
        <f t="shared" si="132"/>
        <v>892.2</v>
      </c>
      <c r="J609" s="77">
        <f t="shared" si="125"/>
        <v>99.13333333333334</v>
      </c>
      <c r="K609" s="47"/>
      <c r="L609" s="48"/>
      <c r="M609" s="86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65"/>
      <c r="AA609" s="65"/>
      <c r="AB609" s="65"/>
      <c r="AC609" s="83"/>
      <c r="AD609" s="65"/>
      <c r="AE609" s="65"/>
      <c r="AF609" s="83"/>
      <c r="AG609" s="83"/>
    </row>
    <row r="610" spans="1:33" s="15" customFormat="1" ht="32.25" customHeight="1">
      <c r="A610" s="23" t="s">
        <v>92</v>
      </c>
      <c r="B610" s="24" t="s">
        <v>144</v>
      </c>
      <c r="C610" s="23" t="s">
        <v>213</v>
      </c>
      <c r="D610" s="23" t="s">
        <v>221</v>
      </c>
      <c r="E610" s="23" t="s">
        <v>1335</v>
      </c>
      <c r="F610" s="23" t="s">
        <v>109</v>
      </c>
      <c r="G610" s="58">
        <f t="shared" si="132"/>
        <v>0</v>
      </c>
      <c r="H610" s="58">
        <f t="shared" si="132"/>
        <v>900</v>
      </c>
      <c r="I610" s="58">
        <f t="shared" si="132"/>
        <v>892.2</v>
      </c>
      <c r="J610" s="77">
        <f t="shared" si="125"/>
        <v>99.13333333333334</v>
      </c>
      <c r="K610" s="47"/>
      <c r="L610" s="48"/>
      <c r="M610" s="86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65"/>
      <c r="AA610" s="65"/>
      <c r="AB610" s="65"/>
      <c r="AC610" s="83"/>
      <c r="AD610" s="65"/>
      <c r="AE610" s="65"/>
      <c r="AF610" s="83"/>
      <c r="AG610" s="83"/>
    </row>
    <row r="611" spans="1:33" s="15" customFormat="1" ht="38.25" customHeight="1">
      <c r="A611" s="23" t="s">
        <v>1150</v>
      </c>
      <c r="B611" s="24" t="s">
        <v>145</v>
      </c>
      <c r="C611" s="23" t="s">
        <v>213</v>
      </c>
      <c r="D611" s="23" t="s">
        <v>221</v>
      </c>
      <c r="E611" s="23" t="s">
        <v>1335</v>
      </c>
      <c r="F611" s="23" t="s">
        <v>102</v>
      </c>
      <c r="G611" s="54">
        <v>0</v>
      </c>
      <c r="H611" s="54">
        <v>900</v>
      </c>
      <c r="I611" s="54">
        <v>892.2</v>
      </c>
      <c r="J611" s="77">
        <f t="shared" si="125"/>
        <v>99.13333333333334</v>
      </c>
      <c r="K611" s="47"/>
      <c r="L611" s="48"/>
      <c r="M611" s="86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65"/>
      <c r="AA611" s="65"/>
      <c r="AB611" s="65"/>
      <c r="AC611" s="83"/>
      <c r="AD611" s="65"/>
      <c r="AE611" s="65"/>
      <c r="AF611" s="83"/>
      <c r="AG611" s="83"/>
    </row>
    <row r="612" spans="1:33" s="16" customFormat="1" ht="23.25" customHeight="1">
      <c r="A612" s="23" t="s">
        <v>1151</v>
      </c>
      <c r="B612" s="34" t="s">
        <v>286</v>
      </c>
      <c r="C612" s="31" t="s">
        <v>213</v>
      </c>
      <c r="D612" s="31" t="s">
        <v>284</v>
      </c>
      <c r="E612" s="31"/>
      <c r="F612" s="31"/>
      <c r="G612" s="77">
        <f aca="true" t="shared" si="133" ref="G612:I615">G613</f>
        <v>3493.9999999999995</v>
      </c>
      <c r="H612" s="77">
        <f t="shared" si="133"/>
        <v>3493.9999999999995</v>
      </c>
      <c r="I612" s="77">
        <f t="shared" si="133"/>
        <v>3464.8</v>
      </c>
      <c r="J612" s="77">
        <f t="shared" si="125"/>
        <v>99.16428162564398</v>
      </c>
      <c r="K612" s="49"/>
      <c r="L612" s="50"/>
      <c r="M612" s="72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  <c r="AA612" s="75"/>
      <c r="AB612" s="65"/>
      <c r="AC612" s="65"/>
      <c r="AD612" s="75"/>
      <c r="AE612" s="75"/>
      <c r="AF612" s="75"/>
      <c r="AG612" s="75"/>
    </row>
    <row r="613" spans="1:33" s="16" customFormat="1" ht="23.25" customHeight="1">
      <c r="A613" s="23" t="s">
        <v>1152</v>
      </c>
      <c r="B613" s="35" t="s">
        <v>253</v>
      </c>
      <c r="C613" s="36" t="s">
        <v>213</v>
      </c>
      <c r="D613" s="36" t="s">
        <v>252</v>
      </c>
      <c r="E613" s="36"/>
      <c r="F613" s="36"/>
      <c r="G613" s="78">
        <f t="shared" si="133"/>
        <v>3493.9999999999995</v>
      </c>
      <c r="H613" s="78">
        <f t="shared" si="133"/>
        <v>3493.9999999999995</v>
      </c>
      <c r="I613" s="78">
        <f t="shared" si="133"/>
        <v>3464.8</v>
      </c>
      <c r="J613" s="77">
        <f t="shared" si="125"/>
        <v>99.16428162564398</v>
      </c>
      <c r="K613" s="49"/>
      <c r="L613" s="50"/>
      <c r="M613" s="72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  <c r="AA613" s="75"/>
      <c r="AB613" s="75">
        <v>3494</v>
      </c>
      <c r="AC613" s="75"/>
      <c r="AD613" s="75"/>
      <c r="AE613" s="75"/>
      <c r="AF613" s="75"/>
      <c r="AG613" s="75"/>
    </row>
    <row r="614" spans="1:33" s="16" customFormat="1" ht="60.75" customHeight="1">
      <c r="A614" s="23" t="s">
        <v>720</v>
      </c>
      <c r="B614" s="24" t="s">
        <v>299</v>
      </c>
      <c r="C614" s="23" t="s">
        <v>213</v>
      </c>
      <c r="D614" s="23" t="s">
        <v>252</v>
      </c>
      <c r="E614" s="23" t="s">
        <v>363</v>
      </c>
      <c r="F614" s="23"/>
      <c r="G614" s="54">
        <f t="shared" si="133"/>
        <v>3493.9999999999995</v>
      </c>
      <c r="H614" s="54">
        <f t="shared" si="133"/>
        <v>3493.9999999999995</v>
      </c>
      <c r="I614" s="54">
        <f t="shared" si="133"/>
        <v>3464.8</v>
      </c>
      <c r="J614" s="77">
        <f t="shared" si="125"/>
        <v>99.16428162564398</v>
      </c>
      <c r="K614" s="49"/>
      <c r="L614" s="50"/>
      <c r="M614" s="72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>
        <v>2998.8</v>
      </c>
      <c r="AA614" s="75"/>
      <c r="AB614" s="75"/>
      <c r="AC614" s="75"/>
      <c r="AD614" s="75"/>
      <c r="AE614" s="75"/>
      <c r="AF614" s="75"/>
      <c r="AG614" s="75"/>
    </row>
    <row r="615" spans="1:33" s="16" customFormat="1" ht="32.25" customHeight="1">
      <c r="A615" s="23" t="s">
        <v>721</v>
      </c>
      <c r="B615" s="24" t="s">
        <v>254</v>
      </c>
      <c r="C615" s="23" t="s">
        <v>213</v>
      </c>
      <c r="D615" s="23" t="s">
        <v>252</v>
      </c>
      <c r="E615" s="23" t="s">
        <v>366</v>
      </c>
      <c r="F615" s="23"/>
      <c r="G615" s="54">
        <f>G616</f>
        <v>3493.9999999999995</v>
      </c>
      <c r="H615" s="54">
        <f>H616</f>
        <v>3493.9999999999995</v>
      </c>
      <c r="I615" s="54">
        <f t="shared" si="133"/>
        <v>3464.8</v>
      </c>
      <c r="J615" s="77">
        <f t="shared" si="125"/>
        <v>99.16428162564398</v>
      </c>
      <c r="K615" s="49"/>
      <c r="L615" s="50"/>
      <c r="M615" s="72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>
        <v>-0.6</v>
      </c>
      <c r="Y615" s="75"/>
      <c r="Z615" s="75"/>
      <c r="AA615" s="75"/>
      <c r="AB615" s="75"/>
      <c r="AC615" s="75"/>
      <c r="AD615" s="75"/>
      <c r="AE615" s="75"/>
      <c r="AF615" s="75"/>
      <c r="AG615" s="75"/>
    </row>
    <row r="616" spans="1:33" s="16" customFormat="1" ht="85.5" customHeight="1">
      <c r="A616" s="23" t="s">
        <v>722</v>
      </c>
      <c r="B616" s="22" t="s">
        <v>781</v>
      </c>
      <c r="C616" s="23" t="s">
        <v>213</v>
      </c>
      <c r="D616" s="23" t="s">
        <v>252</v>
      </c>
      <c r="E616" s="23" t="s">
        <v>367</v>
      </c>
      <c r="F616" s="23"/>
      <c r="G616" s="54">
        <f>G617+G619+G621</f>
        <v>3493.9999999999995</v>
      </c>
      <c r="H616" s="54">
        <f>H617+H619+H621</f>
        <v>3493.9999999999995</v>
      </c>
      <c r="I616" s="54">
        <f>I617+I619+I621</f>
        <v>3464.8</v>
      </c>
      <c r="J616" s="77">
        <f t="shared" si="125"/>
        <v>99.16428162564398</v>
      </c>
      <c r="K616" s="49"/>
      <c r="L616" s="50"/>
      <c r="M616" s="72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  <c r="AA616" s="75"/>
      <c r="AB616" s="75"/>
      <c r="AC616" s="75"/>
      <c r="AD616" s="75"/>
      <c r="AE616" s="75"/>
      <c r="AF616" s="75"/>
      <c r="AG616" s="75"/>
    </row>
    <row r="617" spans="1:33" s="16" customFormat="1" ht="57" customHeight="1">
      <c r="A617" s="23" t="s">
        <v>449</v>
      </c>
      <c r="B617" s="25" t="s">
        <v>181</v>
      </c>
      <c r="C617" s="23" t="s">
        <v>213</v>
      </c>
      <c r="D617" s="23" t="s">
        <v>252</v>
      </c>
      <c r="E617" s="23" t="s">
        <v>367</v>
      </c>
      <c r="F617" s="23" t="s">
        <v>179</v>
      </c>
      <c r="G617" s="54">
        <f>G618</f>
        <v>3364.7</v>
      </c>
      <c r="H617" s="54">
        <f>H618</f>
        <v>3364.7</v>
      </c>
      <c r="I617" s="54">
        <f>I618</f>
        <v>3344.4</v>
      </c>
      <c r="J617" s="77">
        <f t="shared" si="125"/>
        <v>99.3966772669183</v>
      </c>
      <c r="K617" s="49"/>
      <c r="L617" s="50"/>
      <c r="M617" s="72"/>
      <c r="N617" s="75">
        <f>SUM(300+276+150+190+80)</f>
        <v>996</v>
      </c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  <c r="AA617" s="75"/>
      <c r="AB617" s="75"/>
      <c r="AC617" s="75"/>
      <c r="AD617" s="75"/>
      <c r="AE617" s="75"/>
      <c r="AF617" s="75"/>
      <c r="AG617" s="75"/>
    </row>
    <row r="618" spans="1:33" s="16" customFormat="1" ht="21" customHeight="1">
      <c r="A618" s="23" t="s">
        <v>164</v>
      </c>
      <c r="B618" s="25" t="s">
        <v>182</v>
      </c>
      <c r="C618" s="23" t="s">
        <v>213</v>
      </c>
      <c r="D618" s="23" t="s">
        <v>252</v>
      </c>
      <c r="E618" s="23" t="s">
        <v>367</v>
      </c>
      <c r="F618" s="23" t="s">
        <v>211</v>
      </c>
      <c r="G618" s="58">
        <v>3364.7</v>
      </c>
      <c r="H618" s="58">
        <v>3364.7</v>
      </c>
      <c r="I618" s="58">
        <v>3344.4</v>
      </c>
      <c r="J618" s="77">
        <f t="shared" si="125"/>
        <v>99.3966772669183</v>
      </c>
      <c r="K618" s="49"/>
      <c r="L618" s="50"/>
      <c r="M618" s="72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  <c r="AA618" s="75"/>
      <c r="AB618" s="75"/>
      <c r="AC618" s="75"/>
      <c r="AD618" s="75"/>
      <c r="AE618" s="75"/>
      <c r="AF618" s="75"/>
      <c r="AG618" s="75"/>
    </row>
    <row r="619" spans="1:33" s="16" customFormat="1" ht="33" customHeight="1">
      <c r="A619" s="23" t="s">
        <v>395</v>
      </c>
      <c r="B619" s="22" t="s">
        <v>144</v>
      </c>
      <c r="C619" s="23" t="s">
        <v>213</v>
      </c>
      <c r="D619" s="23" t="s">
        <v>252</v>
      </c>
      <c r="E619" s="23" t="s">
        <v>367</v>
      </c>
      <c r="F619" s="23" t="s">
        <v>109</v>
      </c>
      <c r="G619" s="54">
        <f>G620</f>
        <v>129.1</v>
      </c>
      <c r="H619" s="54">
        <f>H620</f>
        <v>129.1</v>
      </c>
      <c r="I619" s="54">
        <f>I620</f>
        <v>120.4</v>
      </c>
      <c r="J619" s="77">
        <f t="shared" si="125"/>
        <v>93.2610379550736</v>
      </c>
      <c r="K619" s="49"/>
      <c r="L619" s="50"/>
      <c r="M619" s="72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>
        <v>0.6</v>
      </c>
      <c r="Y619" s="75"/>
      <c r="Z619" s="75"/>
      <c r="AA619" s="75"/>
      <c r="AB619" s="75"/>
      <c r="AC619" s="75"/>
      <c r="AD619" s="75"/>
      <c r="AE619" s="75"/>
      <c r="AF619" s="75"/>
      <c r="AG619" s="75"/>
    </row>
    <row r="620" spans="1:33" s="16" customFormat="1" ht="35.25" customHeight="1">
      <c r="A620" s="23" t="s">
        <v>140</v>
      </c>
      <c r="B620" s="22" t="s">
        <v>145</v>
      </c>
      <c r="C620" s="23" t="s">
        <v>213</v>
      </c>
      <c r="D620" s="23" t="s">
        <v>252</v>
      </c>
      <c r="E620" s="23" t="s">
        <v>367</v>
      </c>
      <c r="F620" s="23" t="s">
        <v>102</v>
      </c>
      <c r="G620" s="58">
        <v>129.1</v>
      </c>
      <c r="H620" s="58">
        <v>129.1</v>
      </c>
      <c r="I620" s="58">
        <v>120.4</v>
      </c>
      <c r="J620" s="77">
        <f t="shared" si="125"/>
        <v>93.2610379550736</v>
      </c>
      <c r="K620" s="51">
        <f>SUM(K621:K917)</f>
        <v>138504.69999999998</v>
      </c>
      <c r="L620" s="51">
        <f>SUM(L621:L917)</f>
        <v>62750.1</v>
      </c>
      <c r="M620" s="72"/>
      <c r="N620" s="75"/>
      <c r="O620" s="75"/>
      <c r="P620" s="75"/>
      <c r="Q620" s="75"/>
      <c r="R620" s="75"/>
      <c r="S620" s="75"/>
      <c r="T620" s="75">
        <f>SUM(T621:T918)</f>
        <v>139258.40000000002</v>
      </c>
      <c r="U620" s="75">
        <f>SUM(U621:U918)</f>
        <v>69711.3</v>
      </c>
      <c r="V620" s="75"/>
      <c r="W620" s="75"/>
      <c r="X620" s="75">
        <f>SUM(X621:X917)</f>
        <v>4346.299999999999</v>
      </c>
      <c r="Y620" s="75">
        <f>SUM(Y621:Y917)</f>
        <v>12675.4</v>
      </c>
      <c r="Z620" s="75"/>
      <c r="AA620" s="75"/>
      <c r="AB620" s="75"/>
      <c r="AC620" s="75"/>
      <c r="AD620" s="75"/>
      <c r="AE620" s="75"/>
      <c r="AF620" s="75"/>
      <c r="AG620" s="75"/>
    </row>
    <row r="621" spans="1:33" s="16" customFormat="1" ht="21" customHeight="1">
      <c r="A621" s="23" t="s">
        <v>141</v>
      </c>
      <c r="B621" s="25" t="s">
        <v>198</v>
      </c>
      <c r="C621" s="23" t="s">
        <v>213</v>
      </c>
      <c r="D621" s="23" t="s">
        <v>252</v>
      </c>
      <c r="E621" s="23" t="s">
        <v>367</v>
      </c>
      <c r="F621" s="23" t="s">
        <v>201</v>
      </c>
      <c r="G621" s="58">
        <f>SUM(G622)</f>
        <v>0.2</v>
      </c>
      <c r="H621" s="58">
        <f>SUM(H622)</f>
        <v>0.2</v>
      </c>
      <c r="I621" s="58">
        <f>SUM(I622)</f>
        <v>0</v>
      </c>
      <c r="J621" s="77">
        <f t="shared" si="125"/>
        <v>0</v>
      </c>
      <c r="K621" s="55"/>
      <c r="L621" s="50"/>
      <c r="M621" s="72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  <c r="AA621" s="75"/>
      <c r="AB621" s="75"/>
      <c r="AC621" s="75"/>
      <c r="AD621" s="75"/>
      <c r="AE621" s="75"/>
      <c r="AF621" s="75"/>
      <c r="AG621" s="75"/>
    </row>
    <row r="622" spans="1:33" s="16" customFormat="1" ht="21.75" customHeight="1">
      <c r="A622" s="23" t="s">
        <v>142</v>
      </c>
      <c r="B622" s="25" t="s">
        <v>199</v>
      </c>
      <c r="C622" s="23" t="s">
        <v>213</v>
      </c>
      <c r="D622" s="23" t="s">
        <v>252</v>
      </c>
      <c r="E622" s="23" t="s">
        <v>367</v>
      </c>
      <c r="F622" s="23" t="s">
        <v>202</v>
      </c>
      <c r="G622" s="58">
        <v>0.2</v>
      </c>
      <c r="H622" s="58">
        <v>0.2</v>
      </c>
      <c r="I622" s="58">
        <v>0</v>
      </c>
      <c r="J622" s="77">
        <f t="shared" si="125"/>
        <v>0</v>
      </c>
      <c r="K622" s="49"/>
      <c r="L622" s="50"/>
      <c r="M622" s="72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  <c r="AA622" s="75"/>
      <c r="AB622" s="75"/>
      <c r="AC622" s="75"/>
      <c r="AD622" s="75"/>
      <c r="AE622" s="75"/>
      <c r="AF622" s="75"/>
      <c r="AG622" s="75"/>
    </row>
    <row r="623" spans="1:33" s="16" customFormat="1" ht="30.75" customHeight="1">
      <c r="A623" s="23" t="s">
        <v>723</v>
      </c>
      <c r="B623" s="34" t="s">
        <v>255</v>
      </c>
      <c r="C623" s="31" t="s">
        <v>104</v>
      </c>
      <c r="D623" s="31"/>
      <c r="E623" s="31"/>
      <c r="F623" s="31"/>
      <c r="G623" s="77">
        <f>G633+G892+G624</f>
        <v>314117.29999999993</v>
      </c>
      <c r="H623" s="77">
        <f>H633+H892+H624</f>
        <v>329002.89999999997</v>
      </c>
      <c r="I623" s="77">
        <f>I633+I892+I624</f>
        <v>327617.89999999997</v>
      </c>
      <c r="J623" s="77">
        <f t="shared" si="125"/>
        <v>99.5790310662915</v>
      </c>
      <c r="K623" s="49"/>
      <c r="L623" s="50"/>
      <c r="M623" s="72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65">
        <f>SUM(Z633:Z920)</f>
        <v>86723.59999999999</v>
      </c>
      <c r="AA623" s="65">
        <f>SUM(AA633:AA920)</f>
        <v>173745.90000000002</v>
      </c>
      <c r="AB623" s="65">
        <f>SUM(AB624:AB920)</f>
        <v>106035.40000000001</v>
      </c>
      <c r="AC623" s="65">
        <f>SUM(AC624:AC920)</f>
        <v>208081.90000000002</v>
      </c>
      <c r="AD623" s="65">
        <f>SUM(AD624:AD920)</f>
        <v>13950.799999999997</v>
      </c>
      <c r="AE623" s="65">
        <f>SUM(AE624:AE920)</f>
        <v>181.00000000000003</v>
      </c>
      <c r="AF623" s="75"/>
      <c r="AG623" s="75"/>
    </row>
    <row r="624" spans="1:33" s="16" customFormat="1" ht="30.75" customHeight="1">
      <c r="A624" s="23" t="s">
        <v>724</v>
      </c>
      <c r="B624" s="34" t="s">
        <v>215</v>
      </c>
      <c r="C624" s="31" t="s">
        <v>104</v>
      </c>
      <c r="D624" s="31" t="s">
        <v>177</v>
      </c>
      <c r="E624" s="31"/>
      <c r="F624" s="31"/>
      <c r="G624" s="77">
        <f aca="true" t="shared" si="134" ref="G624:I625">SUM(G625)</f>
        <v>49.5</v>
      </c>
      <c r="H624" s="77">
        <f t="shared" si="134"/>
        <v>51</v>
      </c>
      <c r="I624" s="77">
        <f t="shared" si="134"/>
        <v>51</v>
      </c>
      <c r="J624" s="77">
        <f t="shared" si="125"/>
        <v>100</v>
      </c>
      <c r="K624" s="49"/>
      <c r="L624" s="50"/>
      <c r="M624" s="72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65"/>
      <c r="AA624" s="65"/>
      <c r="AB624" s="75"/>
      <c r="AC624" s="75"/>
      <c r="AD624" s="75"/>
      <c r="AE624" s="75"/>
      <c r="AF624" s="75"/>
      <c r="AG624" s="75"/>
    </row>
    <row r="625" spans="1:33" s="16" customFormat="1" ht="30.75" customHeight="1">
      <c r="A625" s="23" t="s">
        <v>725</v>
      </c>
      <c r="B625" s="35" t="s">
        <v>214</v>
      </c>
      <c r="C625" s="36" t="s">
        <v>104</v>
      </c>
      <c r="D625" s="36" t="s">
        <v>212</v>
      </c>
      <c r="E625" s="36"/>
      <c r="F625" s="36"/>
      <c r="G625" s="78">
        <f t="shared" si="134"/>
        <v>49.5</v>
      </c>
      <c r="H625" s="78">
        <f t="shared" si="134"/>
        <v>51</v>
      </c>
      <c r="I625" s="78">
        <f t="shared" si="134"/>
        <v>51</v>
      </c>
      <c r="J625" s="77">
        <f t="shared" si="125"/>
        <v>100</v>
      </c>
      <c r="K625" s="49"/>
      <c r="L625" s="50"/>
      <c r="M625" s="72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65"/>
      <c r="AA625" s="65"/>
      <c r="AB625" s="75"/>
      <c r="AC625" s="75"/>
      <c r="AD625" s="75"/>
      <c r="AE625" s="75"/>
      <c r="AF625" s="75"/>
      <c r="AG625" s="75"/>
    </row>
    <row r="626" spans="1:33" s="16" customFormat="1" ht="30.75" customHeight="1">
      <c r="A626" s="23" t="s">
        <v>288</v>
      </c>
      <c r="B626" s="25" t="s">
        <v>268</v>
      </c>
      <c r="C626" s="23" t="s">
        <v>104</v>
      </c>
      <c r="D626" s="23" t="s">
        <v>212</v>
      </c>
      <c r="E626" s="23" t="s">
        <v>356</v>
      </c>
      <c r="F626" s="36"/>
      <c r="G626" s="54">
        <f aca="true" t="shared" si="135" ref="G626:I627">SUM(G627)</f>
        <v>49.5</v>
      </c>
      <c r="H626" s="54">
        <f t="shared" si="135"/>
        <v>51</v>
      </c>
      <c r="I626" s="54">
        <f t="shared" si="135"/>
        <v>51</v>
      </c>
      <c r="J626" s="77">
        <f t="shared" si="125"/>
        <v>100</v>
      </c>
      <c r="K626" s="49"/>
      <c r="L626" s="50"/>
      <c r="M626" s="72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65"/>
      <c r="AA626" s="65"/>
      <c r="AB626" s="75"/>
      <c r="AC626" s="75"/>
      <c r="AD626" s="75"/>
      <c r="AE626" s="75"/>
      <c r="AF626" s="75"/>
      <c r="AG626" s="75"/>
    </row>
    <row r="627" spans="1:33" s="16" customFormat="1" ht="30.75" customHeight="1">
      <c r="A627" s="23" t="s">
        <v>624</v>
      </c>
      <c r="B627" s="25" t="s">
        <v>233</v>
      </c>
      <c r="C627" s="23" t="s">
        <v>104</v>
      </c>
      <c r="D627" s="23" t="s">
        <v>212</v>
      </c>
      <c r="E627" s="23" t="s">
        <v>358</v>
      </c>
      <c r="F627" s="36"/>
      <c r="G627" s="54">
        <f t="shared" si="135"/>
        <v>49.5</v>
      </c>
      <c r="H627" s="54">
        <f t="shared" si="135"/>
        <v>51</v>
      </c>
      <c r="I627" s="54">
        <f t="shared" si="135"/>
        <v>51</v>
      </c>
      <c r="J627" s="77">
        <f t="shared" si="125"/>
        <v>100</v>
      </c>
      <c r="K627" s="49"/>
      <c r="L627" s="50"/>
      <c r="M627" s="72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65"/>
      <c r="AA627" s="65"/>
      <c r="AB627" s="75"/>
      <c r="AC627" s="75"/>
      <c r="AD627" s="75"/>
      <c r="AE627" s="75"/>
      <c r="AF627" s="75"/>
      <c r="AG627" s="75"/>
    </row>
    <row r="628" spans="1:33" s="16" customFormat="1" ht="146.25" customHeight="1">
      <c r="A628" s="23" t="s">
        <v>625</v>
      </c>
      <c r="B628" s="22" t="s">
        <v>952</v>
      </c>
      <c r="C628" s="23" t="s">
        <v>104</v>
      </c>
      <c r="D628" s="23" t="s">
        <v>212</v>
      </c>
      <c r="E628" s="23" t="s">
        <v>955</v>
      </c>
      <c r="F628" s="36"/>
      <c r="G628" s="54">
        <f>SUM(G629+G631)</f>
        <v>49.5</v>
      </c>
      <c r="H628" s="54">
        <f>SUM(H629+H631)</f>
        <v>51</v>
      </c>
      <c r="I628" s="54">
        <f>SUM(I629+I631)</f>
        <v>51</v>
      </c>
      <c r="J628" s="77">
        <f t="shared" si="125"/>
        <v>100</v>
      </c>
      <c r="K628" s="49"/>
      <c r="L628" s="50"/>
      <c r="M628" s="72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65"/>
      <c r="AA628" s="65"/>
      <c r="AB628" s="75"/>
      <c r="AC628" s="75">
        <v>49.5</v>
      </c>
      <c r="AD628" s="75"/>
      <c r="AE628" s="75"/>
      <c r="AF628" s="75"/>
      <c r="AG628" s="75"/>
    </row>
    <row r="629" spans="1:33" s="16" customFormat="1" ht="53.25" customHeight="1">
      <c r="A629" s="23" t="s">
        <v>626</v>
      </c>
      <c r="B629" s="25" t="s">
        <v>181</v>
      </c>
      <c r="C629" s="23" t="s">
        <v>104</v>
      </c>
      <c r="D629" s="23" t="s">
        <v>212</v>
      </c>
      <c r="E629" s="23" t="s">
        <v>955</v>
      </c>
      <c r="F629" s="23" t="s">
        <v>179</v>
      </c>
      <c r="G629" s="54">
        <f>G630</f>
        <v>48.1</v>
      </c>
      <c r="H629" s="54">
        <f>H630</f>
        <v>49.6</v>
      </c>
      <c r="I629" s="54">
        <f>I630</f>
        <v>49.6</v>
      </c>
      <c r="J629" s="77">
        <f t="shared" si="125"/>
        <v>100</v>
      </c>
      <c r="K629" s="49"/>
      <c r="L629" s="50"/>
      <c r="M629" s="72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65"/>
      <c r="AA629" s="65"/>
      <c r="AB629" s="75"/>
      <c r="AC629" s="75"/>
      <c r="AD629" s="75"/>
      <c r="AE629" s="75"/>
      <c r="AF629" s="75"/>
      <c r="AG629" s="75"/>
    </row>
    <row r="630" spans="1:33" s="16" customFormat="1" ht="30.75" customHeight="1">
      <c r="A630" s="23" t="s">
        <v>929</v>
      </c>
      <c r="B630" s="25" t="s">
        <v>300</v>
      </c>
      <c r="C630" s="23" t="s">
        <v>104</v>
      </c>
      <c r="D630" s="23" t="s">
        <v>212</v>
      </c>
      <c r="E630" s="23" t="s">
        <v>955</v>
      </c>
      <c r="F630" s="23" t="s">
        <v>180</v>
      </c>
      <c r="G630" s="54">
        <v>48.1</v>
      </c>
      <c r="H630" s="54">
        <f>48.1+1.5</f>
        <v>49.6</v>
      </c>
      <c r="I630" s="54">
        <v>49.6</v>
      </c>
      <c r="J630" s="77">
        <f t="shared" si="125"/>
        <v>100</v>
      </c>
      <c r="K630" s="49"/>
      <c r="L630" s="50"/>
      <c r="M630" s="72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65"/>
      <c r="AA630" s="65"/>
      <c r="AB630" s="75"/>
      <c r="AC630" s="75"/>
      <c r="AD630" s="75"/>
      <c r="AE630" s="75"/>
      <c r="AF630" s="75"/>
      <c r="AG630" s="75"/>
    </row>
    <row r="631" spans="1:33" s="16" customFormat="1" ht="30.75" customHeight="1">
      <c r="A631" s="23" t="s">
        <v>930</v>
      </c>
      <c r="B631" s="22" t="s">
        <v>144</v>
      </c>
      <c r="C631" s="23" t="s">
        <v>104</v>
      </c>
      <c r="D631" s="23" t="s">
        <v>212</v>
      </c>
      <c r="E631" s="23" t="s">
        <v>955</v>
      </c>
      <c r="F631" s="23" t="s">
        <v>109</v>
      </c>
      <c r="G631" s="54">
        <f>G632</f>
        <v>1.4</v>
      </c>
      <c r="H631" s="54">
        <f>H632</f>
        <v>1.4</v>
      </c>
      <c r="I631" s="54">
        <f>I632</f>
        <v>1.4</v>
      </c>
      <c r="J631" s="77">
        <f t="shared" si="125"/>
        <v>100</v>
      </c>
      <c r="K631" s="49"/>
      <c r="L631" s="50"/>
      <c r="M631" s="72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65"/>
      <c r="AA631" s="65"/>
      <c r="AB631" s="75"/>
      <c r="AC631" s="75"/>
      <c r="AD631" s="75"/>
      <c r="AE631" s="75"/>
      <c r="AF631" s="75"/>
      <c r="AG631" s="75"/>
    </row>
    <row r="632" spans="1:33" s="16" customFormat="1" ht="30.75" customHeight="1">
      <c r="A632" s="23" t="s">
        <v>931</v>
      </c>
      <c r="B632" s="22" t="s">
        <v>145</v>
      </c>
      <c r="C632" s="23" t="s">
        <v>104</v>
      </c>
      <c r="D632" s="23" t="s">
        <v>212</v>
      </c>
      <c r="E632" s="23" t="s">
        <v>955</v>
      </c>
      <c r="F632" s="23" t="s">
        <v>102</v>
      </c>
      <c r="G632" s="54">
        <v>1.4</v>
      </c>
      <c r="H632" s="54">
        <v>1.4</v>
      </c>
      <c r="I632" s="54">
        <v>1.4</v>
      </c>
      <c r="J632" s="77">
        <f t="shared" si="125"/>
        <v>100</v>
      </c>
      <c r="K632" s="49"/>
      <c r="L632" s="50"/>
      <c r="M632" s="72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65"/>
      <c r="AA632" s="65"/>
      <c r="AB632" s="75"/>
      <c r="AC632" s="75"/>
      <c r="AD632" s="75"/>
      <c r="AE632" s="75"/>
      <c r="AF632" s="75"/>
      <c r="AG632" s="75"/>
    </row>
    <row r="633" spans="1:33" s="16" customFormat="1" ht="23.25" customHeight="1">
      <c r="A633" s="23" t="s">
        <v>932</v>
      </c>
      <c r="B633" s="34" t="s">
        <v>266</v>
      </c>
      <c r="C633" s="31" t="s">
        <v>104</v>
      </c>
      <c r="D633" s="31" t="s">
        <v>271</v>
      </c>
      <c r="E633" s="31" t="s">
        <v>160</v>
      </c>
      <c r="F633" s="31" t="s">
        <v>160</v>
      </c>
      <c r="G633" s="77">
        <f>G634+G676+G792+G810+G762</f>
        <v>301910.69999999995</v>
      </c>
      <c r="H633" s="77">
        <f>H634+H676+H792+H810+H762</f>
        <v>321715.3</v>
      </c>
      <c r="I633" s="77">
        <f>I634+I676+I792+I810+I762</f>
        <v>321018.39999999997</v>
      </c>
      <c r="J633" s="77">
        <f t="shared" si="125"/>
        <v>99.78337990142215</v>
      </c>
      <c r="K633" s="49"/>
      <c r="L633" s="50"/>
      <c r="M633" s="72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  <c r="AB633" s="75"/>
      <c r="AC633" s="75"/>
      <c r="AD633" s="75"/>
      <c r="AE633" s="75"/>
      <c r="AF633" s="75"/>
      <c r="AG633" s="75"/>
    </row>
    <row r="634" spans="1:33" s="16" customFormat="1" ht="24.75" customHeight="1">
      <c r="A634" s="23" t="s">
        <v>933</v>
      </c>
      <c r="B634" s="35" t="s">
        <v>267</v>
      </c>
      <c r="C634" s="36" t="s">
        <v>104</v>
      </c>
      <c r="D634" s="36" t="s">
        <v>272</v>
      </c>
      <c r="E634" s="36" t="s">
        <v>160</v>
      </c>
      <c r="F634" s="36" t="s">
        <v>160</v>
      </c>
      <c r="G634" s="78">
        <f aca="true" t="shared" si="136" ref="G634:I635">G635</f>
        <v>68616.2</v>
      </c>
      <c r="H634" s="78">
        <f t="shared" si="136"/>
        <v>68930.9</v>
      </c>
      <c r="I634" s="78">
        <f t="shared" si="136"/>
        <v>68836.5</v>
      </c>
      <c r="J634" s="77">
        <f t="shared" si="125"/>
        <v>99.86305125857925</v>
      </c>
      <c r="K634" s="49"/>
      <c r="L634" s="50">
        <v>21387.6</v>
      </c>
      <c r="M634" s="72"/>
      <c r="N634" s="75"/>
      <c r="O634" s="75"/>
      <c r="P634" s="75"/>
      <c r="Q634" s="75"/>
      <c r="R634" s="75"/>
      <c r="S634" s="75"/>
      <c r="T634" s="75"/>
      <c r="U634" s="75">
        <v>18928.6</v>
      </c>
      <c r="V634" s="75"/>
      <c r="W634" s="75"/>
      <c r="X634" s="75"/>
      <c r="Y634" s="75"/>
      <c r="Z634" s="75"/>
      <c r="AA634" s="75"/>
      <c r="AB634" s="75"/>
      <c r="AC634" s="75"/>
      <c r="AD634" s="75"/>
      <c r="AE634" s="75"/>
      <c r="AF634" s="75"/>
      <c r="AG634" s="75"/>
    </row>
    <row r="635" spans="1:33" s="16" customFormat="1" ht="32.25" customHeight="1">
      <c r="A635" s="23" t="s">
        <v>934</v>
      </c>
      <c r="B635" s="24" t="s">
        <v>268</v>
      </c>
      <c r="C635" s="23" t="s">
        <v>104</v>
      </c>
      <c r="D635" s="23" t="s">
        <v>272</v>
      </c>
      <c r="E635" s="23" t="s">
        <v>356</v>
      </c>
      <c r="F635" s="23"/>
      <c r="G635" s="54">
        <f t="shared" si="136"/>
        <v>68616.2</v>
      </c>
      <c r="H635" s="54">
        <f t="shared" si="136"/>
        <v>68930.9</v>
      </c>
      <c r="I635" s="54">
        <f t="shared" si="136"/>
        <v>68836.5</v>
      </c>
      <c r="J635" s="77">
        <f t="shared" si="125"/>
        <v>99.86305125857925</v>
      </c>
      <c r="K635" s="49"/>
      <c r="L635" s="50"/>
      <c r="M635" s="72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5"/>
      <c r="AB635" s="75"/>
      <c r="AC635" s="75"/>
      <c r="AD635" s="75"/>
      <c r="AE635" s="75"/>
      <c r="AF635" s="75"/>
      <c r="AG635" s="75"/>
    </row>
    <row r="636" spans="1:33" s="16" customFormat="1" ht="25.5">
      <c r="A636" s="23" t="s">
        <v>289</v>
      </c>
      <c r="B636" s="24" t="s">
        <v>269</v>
      </c>
      <c r="C636" s="23" t="s">
        <v>104</v>
      </c>
      <c r="D636" s="23" t="s">
        <v>272</v>
      </c>
      <c r="E636" s="23" t="s">
        <v>357</v>
      </c>
      <c r="F636" s="23"/>
      <c r="G636" s="54">
        <f>G637+G656+G663+G646+G670+G673+G651</f>
        <v>68616.2</v>
      </c>
      <c r="H636" s="54">
        <f>H637+H656+H663+H646+H670+H673+H651</f>
        <v>68930.9</v>
      </c>
      <c r="I636" s="54">
        <f>I637+I656+I663+I646+I670+I673+I651</f>
        <v>68836.5</v>
      </c>
      <c r="J636" s="77">
        <f t="shared" si="125"/>
        <v>99.86305125857925</v>
      </c>
      <c r="K636" s="49"/>
      <c r="L636" s="50"/>
      <c r="M636" s="72"/>
      <c r="N636" s="75">
        <f>-237.84+192</f>
        <v>-45.84</v>
      </c>
      <c r="O636" s="75"/>
      <c r="P636" s="75"/>
      <c r="Q636" s="75"/>
      <c r="R636" s="75"/>
      <c r="S636" s="75"/>
      <c r="T636" s="75"/>
      <c r="U636" s="75"/>
      <c r="V636" s="75"/>
      <c r="W636" s="75"/>
      <c r="X636" s="75">
        <v>-186.4</v>
      </c>
      <c r="Y636" s="75"/>
      <c r="Z636" s="75"/>
      <c r="AA636" s="75"/>
      <c r="AB636" s="75"/>
      <c r="AC636" s="75"/>
      <c r="AD636" s="75"/>
      <c r="AE636" s="75"/>
      <c r="AF636" s="75"/>
      <c r="AG636" s="75"/>
    </row>
    <row r="637" spans="1:33" s="16" customFormat="1" ht="57" customHeight="1">
      <c r="A637" s="23" t="s">
        <v>450</v>
      </c>
      <c r="B637" s="22" t="s">
        <v>782</v>
      </c>
      <c r="C637" s="23" t="s">
        <v>104</v>
      </c>
      <c r="D637" s="23" t="s">
        <v>272</v>
      </c>
      <c r="E637" s="23" t="s">
        <v>783</v>
      </c>
      <c r="F637" s="23"/>
      <c r="G637" s="54">
        <f>G638+G640+G642+G644</f>
        <v>20679.2</v>
      </c>
      <c r="H637" s="54">
        <f>H638+H640+H642+H644</f>
        <v>18476.2</v>
      </c>
      <c r="I637" s="54">
        <f>I638+I640+I642+I644</f>
        <v>18392.5</v>
      </c>
      <c r="J637" s="77">
        <f t="shared" si="125"/>
        <v>99.54698476959547</v>
      </c>
      <c r="K637" s="49"/>
      <c r="L637" s="50"/>
      <c r="M637" s="72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>
        <v>17578.5</v>
      </c>
      <c r="AA637" s="75"/>
      <c r="AB637" s="75">
        <v>20679.2</v>
      </c>
      <c r="AC637" s="75"/>
      <c r="AD637" s="75"/>
      <c r="AE637" s="75"/>
      <c r="AF637" s="75"/>
      <c r="AG637" s="75"/>
    </row>
    <row r="638" spans="1:33" s="16" customFormat="1" ht="57" customHeight="1">
      <c r="A638" s="23" t="s">
        <v>451</v>
      </c>
      <c r="B638" s="25" t="s">
        <v>181</v>
      </c>
      <c r="C638" s="23" t="s">
        <v>104</v>
      </c>
      <c r="D638" s="23" t="s">
        <v>272</v>
      </c>
      <c r="E638" s="23" t="s">
        <v>783</v>
      </c>
      <c r="F638" s="23" t="s">
        <v>179</v>
      </c>
      <c r="G638" s="54">
        <f>G639</f>
        <v>799.3</v>
      </c>
      <c r="H638" s="54">
        <f>H639</f>
        <v>799.2</v>
      </c>
      <c r="I638" s="54">
        <f>I639</f>
        <v>799.2</v>
      </c>
      <c r="J638" s="77">
        <f t="shared" si="125"/>
        <v>100</v>
      </c>
      <c r="K638" s="49"/>
      <c r="L638" s="50"/>
      <c r="M638" s="72"/>
      <c r="N638" s="75">
        <f>-1976.5+(-61)+30+(-276)+(-450)+(-98.9)+(-191)+(-600)</f>
        <v>-3623.4</v>
      </c>
      <c r="O638" s="75"/>
      <c r="P638" s="75"/>
      <c r="Q638" s="75"/>
      <c r="R638" s="75"/>
      <c r="S638" s="75"/>
      <c r="T638" s="75"/>
      <c r="U638" s="75"/>
      <c r="V638" s="75"/>
      <c r="W638" s="75"/>
      <c r="X638" s="75">
        <v>-100</v>
      </c>
      <c r="Y638" s="75"/>
      <c r="Z638" s="75"/>
      <c r="AA638" s="75"/>
      <c r="AB638" s="75"/>
      <c r="AC638" s="75"/>
      <c r="AD638" s="75"/>
      <c r="AE638" s="75"/>
      <c r="AF638" s="75"/>
      <c r="AG638" s="75"/>
    </row>
    <row r="639" spans="1:33" s="16" customFormat="1" ht="25.5" customHeight="1">
      <c r="A639" s="23" t="s">
        <v>1153</v>
      </c>
      <c r="B639" s="25" t="s">
        <v>182</v>
      </c>
      <c r="C639" s="23" t="s">
        <v>104</v>
      </c>
      <c r="D639" s="23" t="s">
        <v>272</v>
      </c>
      <c r="E639" s="23" t="s">
        <v>783</v>
      </c>
      <c r="F639" s="23" t="s">
        <v>211</v>
      </c>
      <c r="G639" s="58">
        <v>799.3</v>
      </c>
      <c r="H639" s="58">
        <v>799.2</v>
      </c>
      <c r="I639" s="58">
        <v>799.2</v>
      </c>
      <c r="J639" s="77">
        <f aca="true" t="shared" si="137" ref="J639:J702">I639/H639*100</f>
        <v>100</v>
      </c>
      <c r="K639" s="49"/>
      <c r="L639" s="50"/>
      <c r="M639" s="72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</row>
    <row r="640" spans="1:33" s="16" customFormat="1" ht="36.75" customHeight="1">
      <c r="A640" s="23" t="s">
        <v>1154</v>
      </c>
      <c r="B640" s="22" t="s">
        <v>144</v>
      </c>
      <c r="C640" s="23" t="s">
        <v>104</v>
      </c>
      <c r="D640" s="23" t="s">
        <v>272</v>
      </c>
      <c r="E640" s="23" t="s">
        <v>783</v>
      </c>
      <c r="F640" s="23" t="s">
        <v>109</v>
      </c>
      <c r="G640" s="54">
        <f>G641</f>
        <v>2438.7</v>
      </c>
      <c r="H640" s="54">
        <f>H641</f>
        <v>2145.7999999999997</v>
      </c>
      <c r="I640" s="54">
        <f>I641</f>
        <v>2062.1</v>
      </c>
      <c r="J640" s="77">
        <f t="shared" si="137"/>
        <v>96.09935688321373</v>
      </c>
      <c r="K640" s="49"/>
      <c r="L640" s="50"/>
      <c r="M640" s="72"/>
      <c r="N640" s="75">
        <f>1780.9+259+34</f>
        <v>2073.9</v>
      </c>
      <c r="O640" s="75"/>
      <c r="P640" s="75"/>
      <c r="Q640" s="75"/>
      <c r="R640" s="75"/>
      <c r="S640" s="75"/>
      <c r="T640" s="75"/>
      <c r="U640" s="75"/>
      <c r="V640" s="75"/>
      <c r="W640" s="75"/>
      <c r="X640" s="75">
        <f>-622.4-177.4-321.3</f>
        <v>-1121.1</v>
      </c>
      <c r="Y640" s="75"/>
      <c r="Z640" s="75"/>
      <c r="AA640" s="75"/>
      <c r="AB640" s="75"/>
      <c r="AC640" s="75"/>
      <c r="AD640" s="75"/>
      <c r="AE640" s="75"/>
      <c r="AF640" s="75"/>
      <c r="AG640" s="75"/>
    </row>
    <row r="641" spans="1:33" s="16" customFormat="1" ht="36.75" customHeight="1">
      <c r="A641" s="23" t="s">
        <v>1155</v>
      </c>
      <c r="B641" s="22" t="s">
        <v>145</v>
      </c>
      <c r="C641" s="23" t="s">
        <v>104</v>
      </c>
      <c r="D641" s="23" t="s">
        <v>272</v>
      </c>
      <c r="E641" s="23" t="s">
        <v>783</v>
      </c>
      <c r="F641" s="23" t="s">
        <v>102</v>
      </c>
      <c r="G641" s="58">
        <v>2438.7</v>
      </c>
      <c r="H641" s="58">
        <f>2438.7-292.9</f>
        <v>2145.7999999999997</v>
      </c>
      <c r="I641" s="58">
        <v>2062.1</v>
      </c>
      <c r="J641" s="77">
        <f t="shared" si="137"/>
        <v>96.09935688321373</v>
      </c>
      <c r="K641" s="49"/>
      <c r="L641" s="50"/>
      <c r="M641" s="72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75"/>
      <c r="AF641" s="75">
        <v>-292.9</v>
      </c>
      <c r="AG641" s="75"/>
    </row>
    <row r="642" spans="1:33" s="16" customFormat="1" ht="33.75" customHeight="1">
      <c r="A642" s="23" t="s">
        <v>935</v>
      </c>
      <c r="B642" s="22" t="s">
        <v>270</v>
      </c>
      <c r="C642" s="23" t="s">
        <v>104</v>
      </c>
      <c r="D642" s="23" t="s">
        <v>272</v>
      </c>
      <c r="E642" s="23" t="s">
        <v>783</v>
      </c>
      <c r="F642" s="23" t="s">
        <v>163</v>
      </c>
      <c r="G642" s="54">
        <f>G643</f>
        <v>17431.2</v>
      </c>
      <c r="H642" s="54">
        <f>H643</f>
        <v>15531.2</v>
      </c>
      <c r="I642" s="54">
        <f>I643</f>
        <v>15531.2</v>
      </c>
      <c r="J642" s="77">
        <f t="shared" si="137"/>
        <v>100</v>
      </c>
      <c r="K642" s="49"/>
      <c r="L642" s="50"/>
      <c r="M642" s="72"/>
      <c r="N642" s="75">
        <v>-4.7</v>
      </c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  <c r="AA642" s="75"/>
      <c r="AB642" s="75"/>
      <c r="AC642" s="75"/>
      <c r="AD642" s="75"/>
      <c r="AE642" s="75"/>
      <c r="AF642" s="75"/>
      <c r="AG642" s="75"/>
    </row>
    <row r="643" spans="1:33" s="16" customFormat="1" ht="19.5" customHeight="1">
      <c r="A643" s="23" t="s">
        <v>936</v>
      </c>
      <c r="B643" s="22" t="s">
        <v>165</v>
      </c>
      <c r="C643" s="23" t="s">
        <v>104</v>
      </c>
      <c r="D643" s="23" t="s">
        <v>272</v>
      </c>
      <c r="E643" s="23" t="s">
        <v>783</v>
      </c>
      <c r="F643" s="23" t="s">
        <v>164</v>
      </c>
      <c r="G643" s="58">
        <v>17431.2</v>
      </c>
      <c r="H643" s="58">
        <f>17431.2-200-1700</f>
        <v>15531.2</v>
      </c>
      <c r="I643" s="58">
        <v>15531.2</v>
      </c>
      <c r="J643" s="77">
        <f t="shared" si="137"/>
        <v>100</v>
      </c>
      <c r="K643" s="49"/>
      <c r="L643" s="50"/>
      <c r="M643" s="72"/>
      <c r="N643" s="75"/>
      <c r="O643" s="75"/>
      <c r="P643" s="75"/>
      <c r="Q643" s="75"/>
      <c r="R643" s="75"/>
      <c r="S643" s="75"/>
      <c r="T643" s="75"/>
      <c r="U643" s="75">
        <v>4252.8</v>
      </c>
      <c r="V643" s="75"/>
      <c r="W643" s="75"/>
      <c r="X643" s="75"/>
      <c r="Y643" s="75"/>
      <c r="Z643" s="75"/>
      <c r="AA643" s="75"/>
      <c r="AB643" s="75"/>
      <c r="AC643" s="75"/>
      <c r="AD643" s="75"/>
      <c r="AE643" s="75"/>
      <c r="AF643" s="75">
        <f>-200-1700</f>
        <v>-1900</v>
      </c>
      <c r="AG643" s="75"/>
    </row>
    <row r="644" spans="1:33" s="16" customFormat="1" ht="18" customHeight="1">
      <c r="A644" s="23" t="s">
        <v>726</v>
      </c>
      <c r="B644" s="25" t="s">
        <v>198</v>
      </c>
      <c r="C644" s="23" t="s">
        <v>104</v>
      </c>
      <c r="D644" s="23" t="s">
        <v>272</v>
      </c>
      <c r="E644" s="23" t="s">
        <v>783</v>
      </c>
      <c r="F644" s="23" t="s">
        <v>201</v>
      </c>
      <c r="G644" s="58">
        <f>G645</f>
        <v>10</v>
      </c>
      <c r="H644" s="58">
        <f>H645</f>
        <v>0</v>
      </c>
      <c r="I644" s="58">
        <f>I645</f>
        <v>0</v>
      </c>
      <c r="J644" s="77">
        <v>0</v>
      </c>
      <c r="K644" s="49"/>
      <c r="L644" s="50"/>
      <c r="M644" s="72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  <c r="AA644" s="75"/>
      <c r="AB644" s="75"/>
      <c r="AC644" s="75"/>
      <c r="AD644" s="75"/>
      <c r="AE644" s="75"/>
      <c r="AF644" s="75"/>
      <c r="AG644" s="75"/>
    </row>
    <row r="645" spans="1:33" s="16" customFormat="1" ht="21.75" customHeight="1">
      <c r="A645" s="23" t="s">
        <v>1156</v>
      </c>
      <c r="B645" s="25" t="s">
        <v>199</v>
      </c>
      <c r="C645" s="23" t="s">
        <v>104</v>
      </c>
      <c r="D645" s="23" t="s">
        <v>272</v>
      </c>
      <c r="E645" s="23" t="s">
        <v>783</v>
      </c>
      <c r="F645" s="23" t="s">
        <v>202</v>
      </c>
      <c r="G645" s="58">
        <v>10</v>
      </c>
      <c r="H645" s="58">
        <f>10-10</f>
        <v>0</v>
      </c>
      <c r="I645" s="58">
        <v>0</v>
      </c>
      <c r="J645" s="77">
        <v>0</v>
      </c>
      <c r="K645" s="49"/>
      <c r="L645" s="50"/>
      <c r="M645" s="72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  <c r="AA645" s="75"/>
      <c r="AB645" s="75"/>
      <c r="AC645" s="75"/>
      <c r="AD645" s="75"/>
      <c r="AE645" s="75"/>
      <c r="AF645" s="75">
        <v>-10</v>
      </c>
      <c r="AG645" s="75"/>
    </row>
    <row r="646" spans="1:33" s="16" customFormat="1" ht="86.25" customHeight="1">
      <c r="A646" s="23" t="s">
        <v>1157</v>
      </c>
      <c r="B646" s="40" t="s">
        <v>186</v>
      </c>
      <c r="C646" s="23" t="s">
        <v>104</v>
      </c>
      <c r="D646" s="23" t="s">
        <v>272</v>
      </c>
      <c r="E646" s="23" t="s">
        <v>588</v>
      </c>
      <c r="F646" s="23"/>
      <c r="G646" s="58">
        <f>G647+G649</f>
        <v>6267.4</v>
      </c>
      <c r="H646" s="58">
        <f>H647+H649</f>
        <v>6267.4</v>
      </c>
      <c r="I646" s="58">
        <f>I647+I649</f>
        <v>6267.4</v>
      </c>
      <c r="J646" s="77">
        <f t="shared" si="137"/>
        <v>100</v>
      </c>
      <c r="K646" s="49"/>
      <c r="L646" s="50"/>
      <c r="M646" s="72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>
        <v>4632.5</v>
      </c>
      <c r="AA646" s="75"/>
      <c r="AB646" s="75">
        <v>6267.4</v>
      </c>
      <c r="AC646" s="75"/>
      <c r="AD646" s="75"/>
      <c r="AE646" s="75"/>
      <c r="AF646" s="75"/>
      <c r="AG646" s="75"/>
    </row>
    <row r="647" spans="1:33" s="16" customFormat="1" ht="54.75" customHeight="1">
      <c r="A647" s="23" t="s">
        <v>1158</v>
      </c>
      <c r="B647" s="25" t="s">
        <v>181</v>
      </c>
      <c r="C647" s="23" t="s">
        <v>104</v>
      </c>
      <c r="D647" s="23" t="s">
        <v>272</v>
      </c>
      <c r="E647" s="23" t="s">
        <v>588</v>
      </c>
      <c r="F647" s="23" t="s">
        <v>179</v>
      </c>
      <c r="G647" s="58">
        <f>G648</f>
        <v>1295.9</v>
      </c>
      <c r="H647" s="58">
        <f>H648</f>
        <v>1295.9</v>
      </c>
      <c r="I647" s="58">
        <f>I648</f>
        <v>1295.9</v>
      </c>
      <c r="J647" s="77">
        <f t="shared" si="137"/>
        <v>100</v>
      </c>
      <c r="K647" s="49"/>
      <c r="L647" s="50"/>
      <c r="M647" s="72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  <c r="AA647" s="75"/>
      <c r="AB647" s="75"/>
      <c r="AC647" s="75"/>
      <c r="AD647" s="75"/>
      <c r="AE647" s="75"/>
      <c r="AF647" s="75"/>
      <c r="AG647" s="75"/>
    </row>
    <row r="648" spans="1:33" s="16" customFormat="1" ht="21.75" customHeight="1">
      <c r="A648" s="23" t="s">
        <v>1159</v>
      </c>
      <c r="B648" s="25" t="s">
        <v>182</v>
      </c>
      <c r="C648" s="23" t="s">
        <v>104</v>
      </c>
      <c r="D648" s="23" t="s">
        <v>272</v>
      </c>
      <c r="E648" s="23" t="s">
        <v>588</v>
      </c>
      <c r="F648" s="23" t="s">
        <v>211</v>
      </c>
      <c r="G648" s="58">
        <v>1295.9</v>
      </c>
      <c r="H648" s="58">
        <v>1295.9</v>
      </c>
      <c r="I648" s="58">
        <v>1295.9</v>
      </c>
      <c r="J648" s="77">
        <f t="shared" si="137"/>
        <v>100</v>
      </c>
      <c r="K648" s="49">
        <v>12465.6</v>
      </c>
      <c r="L648" s="50"/>
      <c r="M648" s="72"/>
      <c r="N648" s="75"/>
      <c r="O648" s="75"/>
      <c r="P648" s="75"/>
      <c r="Q648" s="75"/>
      <c r="R648" s="75"/>
      <c r="S648" s="75"/>
      <c r="T648" s="75">
        <v>16423.5</v>
      </c>
      <c r="U648" s="75"/>
      <c r="V648" s="75"/>
      <c r="W648" s="75"/>
      <c r="X648" s="75"/>
      <c r="Y648" s="75"/>
      <c r="Z648" s="75"/>
      <c r="AA648" s="75"/>
      <c r="AB648" s="75"/>
      <c r="AC648" s="75"/>
      <c r="AD648" s="75"/>
      <c r="AE648" s="75"/>
      <c r="AF648" s="75"/>
      <c r="AG648" s="75"/>
    </row>
    <row r="649" spans="1:33" s="16" customFormat="1" ht="32.25" customHeight="1">
      <c r="A649" s="23" t="s">
        <v>1160</v>
      </c>
      <c r="B649" s="22" t="s">
        <v>270</v>
      </c>
      <c r="C649" s="23" t="s">
        <v>104</v>
      </c>
      <c r="D649" s="23" t="s">
        <v>272</v>
      </c>
      <c r="E649" s="23" t="s">
        <v>588</v>
      </c>
      <c r="F649" s="23" t="s">
        <v>163</v>
      </c>
      <c r="G649" s="58">
        <f>G650</f>
        <v>4971.5</v>
      </c>
      <c r="H649" s="58">
        <f>H650</f>
        <v>4971.5</v>
      </c>
      <c r="I649" s="58">
        <f>I650</f>
        <v>4971.5</v>
      </c>
      <c r="J649" s="77">
        <f t="shared" si="137"/>
        <v>100</v>
      </c>
      <c r="K649" s="49"/>
      <c r="L649" s="50"/>
      <c r="M649" s="72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  <c r="AA649" s="75"/>
      <c r="AB649" s="75"/>
      <c r="AC649" s="75"/>
      <c r="AD649" s="75"/>
      <c r="AE649" s="75"/>
      <c r="AF649" s="75"/>
      <c r="AG649" s="75"/>
    </row>
    <row r="650" spans="1:33" s="16" customFormat="1" ht="21" customHeight="1">
      <c r="A650" s="23" t="s">
        <v>1161</v>
      </c>
      <c r="B650" s="22" t="s">
        <v>165</v>
      </c>
      <c r="C650" s="23" t="s">
        <v>104</v>
      </c>
      <c r="D650" s="23" t="s">
        <v>272</v>
      </c>
      <c r="E650" s="23" t="s">
        <v>588</v>
      </c>
      <c r="F650" s="23" t="s">
        <v>164</v>
      </c>
      <c r="G650" s="58">
        <v>4971.5</v>
      </c>
      <c r="H650" s="58">
        <v>4971.5</v>
      </c>
      <c r="I650" s="58">
        <v>4971.5</v>
      </c>
      <c r="J650" s="77">
        <f t="shared" si="137"/>
        <v>100</v>
      </c>
      <c r="K650" s="49"/>
      <c r="L650" s="50"/>
      <c r="M650" s="72">
        <f>-1064.1+5+728.9-1700+375.9+85</f>
        <v>-1569.2999999999997</v>
      </c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  <c r="AA650" s="75"/>
      <c r="AB650" s="75"/>
      <c r="AC650" s="75"/>
      <c r="AD650" s="75"/>
      <c r="AE650" s="75"/>
      <c r="AF650" s="75"/>
      <c r="AG650" s="75"/>
    </row>
    <row r="651" spans="1:33" s="16" customFormat="1" ht="75" customHeight="1">
      <c r="A651" s="23" t="s">
        <v>1162</v>
      </c>
      <c r="B651" s="40" t="s">
        <v>1433</v>
      </c>
      <c r="C651" s="23" t="s">
        <v>104</v>
      </c>
      <c r="D651" s="23" t="s">
        <v>272</v>
      </c>
      <c r="E651" s="23" t="s">
        <v>1434</v>
      </c>
      <c r="F651" s="23"/>
      <c r="G651" s="58">
        <f>G652+G654</f>
        <v>0</v>
      </c>
      <c r="H651" s="58">
        <f>H652+H654</f>
        <v>350</v>
      </c>
      <c r="I651" s="58">
        <f>I652+I654</f>
        <v>350</v>
      </c>
      <c r="J651" s="77">
        <f t="shared" si="137"/>
        <v>100</v>
      </c>
      <c r="K651" s="49"/>
      <c r="L651" s="50"/>
      <c r="M651" s="72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5"/>
      <c r="AB651" s="75"/>
      <c r="AC651" s="75"/>
      <c r="AD651" s="75"/>
      <c r="AE651" s="75"/>
      <c r="AF651" s="75"/>
      <c r="AG651" s="75"/>
    </row>
    <row r="652" spans="1:33" s="16" customFormat="1" ht="54" customHeight="1">
      <c r="A652" s="23" t="s">
        <v>1163</v>
      </c>
      <c r="B652" s="25" t="s">
        <v>181</v>
      </c>
      <c r="C652" s="23" t="s">
        <v>104</v>
      </c>
      <c r="D652" s="23" t="s">
        <v>272</v>
      </c>
      <c r="E652" s="23" t="s">
        <v>1434</v>
      </c>
      <c r="F652" s="23" t="s">
        <v>179</v>
      </c>
      <c r="G652" s="58">
        <f>G653</f>
        <v>0</v>
      </c>
      <c r="H652" s="58">
        <f>H653</f>
        <v>150</v>
      </c>
      <c r="I652" s="58">
        <f>I653</f>
        <v>150</v>
      </c>
      <c r="J652" s="77">
        <f t="shared" si="137"/>
        <v>100</v>
      </c>
      <c r="K652" s="49"/>
      <c r="L652" s="50"/>
      <c r="M652" s="72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  <c r="AA652" s="75"/>
      <c r="AB652" s="75"/>
      <c r="AC652" s="75"/>
      <c r="AD652" s="75"/>
      <c r="AE652" s="75"/>
      <c r="AF652" s="75"/>
      <c r="AG652" s="75"/>
    </row>
    <row r="653" spans="1:33" s="16" customFormat="1" ht="21" customHeight="1">
      <c r="A653" s="23" t="s">
        <v>1164</v>
      </c>
      <c r="B653" s="25" t="s">
        <v>182</v>
      </c>
      <c r="C653" s="23" t="s">
        <v>104</v>
      </c>
      <c r="D653" s="23" t="s">
        <v>272</v>
      </c>
      <c r="E653" s="23" t="s">
        <v>1434</v>
      </c>
      <c r="F653" s="23" t="s">
        <v>211</v>
      </c>
      <c r="G653" s="58">
        <v>0</v>
      </c>
      <c r="H653" s="58">
        <v>150</v>
      </c>
      <c r="I653" s="58">
        <v>150</v>
      </c>
      <c r="J653" s="77">
        <f t="shared" si="137"/>
        <v>100</v>
      </c>
      <c r="K653" s="49"/>
      <c r="L653" s="50"/>
      <c r="M653" s="72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  <c r="AA653" s="75"/>
      <c r="AB653" s="75"/>
      <c r="AC653" s="75"/>
      <c r="AD653" s="75"/>
      <c r="AE653" s="75"/>
      <c r="AF653" s="75"/>
      <c r="AG653" s="75"/>
    </row>
    <row r="654" spans="1:33" s="16" customFormat="1" ht="43.5" customHeight="1">
      <c r="A654" s="23" t="s">
        <v>480</v>
      </c>
      <c r="B654" s="22" t="s">
        <v>270</v>
      </c>
      <c r="C654" s="23" t="s">
        <v>104</v>
      </c>
      <c r="D654" s="23" t="s">
        <v>272</v>
      </c>
      <c r="E654" s="23" t="s">
        <v>1434</v>
      </c>
      <c r="F654" s="23" t="s">
        <v>163</v>
      </c>
      <c r="G654" s="58">
        <f>G655</f>
        <v>0</v>
      </c>
      <c r="H654" s="58">
        <f>H655</f>
        <v>200</v>
      </c>
      <c r="I654" s="58">
        <f>I655</f>
        <v>200</v>
      </c>
      <c r="J654" s="77">
        <f t="shared" si="137"/>
        <v>100</v>
      </c>
      <c r="K654" s="49"/>
      <c r="L654" s="50"/>
      <c r="M654" s="72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  <c r="AA654" s="75"/>
      <c r="AB654" s="75"/>
      <c r="AC654" s="75"/>
      <c r="AD654" s="75"/>
      <c r="AE654" s="75"/>
      <c r="AF654" s="75"/>
      <c r="AG654" s="75"/>
    </row>
    <row r="655" spans="1:33" s="16" customFormat="1" ht="21" customHeight="1">
      <c r="A655" s="23" t="s">
        <v>452</v>
      </c>
      <c r="B655" s="22" t="s">
        <v>165</v>
      </c>
      <c r="C655" s="23" t="s">
        <v>104</v>
      </c>
      <c r="D655" s="23" t="s">
        <v>272</v>
      </c>
      <c r="E655" s="23" t="s">
        <v>1434</v>
      </c>
      <c r="F655" s="23" t="s">
        <v>164</v>
      </c>
      <c r="G655" s="58">
        <v>0</v>
      </c>
      <c r="H655" s="58">
        <v>200</v>
      </c>
      <c r="I655" s="58">
        <v>200</v>
      </c>
      <c r="J655" s="77">
        <f t="shared" si="137"/>
        <v>100</v>
      </c>
      <c r="K655" s="49"/>
      <c r="L655" s="50"/>
      <c r="M655" s="72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  <c r="AB655" s="75"/>
      <c r="AC655" s="75"/>
      <c r="AD655" s="75"/>
      <c r="AE655" s="75"/>
      <c r="AF655" s="75"/>
      <c r="AG655" s="75"/>
    </row>
    <row r="656" spans="1:33" s="16" customFormat="1" ht="146.25" customHeight="1">
      <c r="A656" s="23" t="s">
        <v>0</v>
      </c>
      <c r="B656" s="28" t="s">
        <v>484</v>
      </c>
      <c r="C656" s="23" t="s">
        <v>104</v>
      </c>
      <c r="D656" s="23" t="s">
        <v>272</v>
      </c>
      <c r="E656" s="23" t="s">
        <v>373</v>
      </c>
      <c r="F656" s="23"/>
      <c r="G656" s="58">
        <f>SUM(G657+G661+G659)</f>
        <v>17810.8</v>
      </c>
      <c r="H656" s="58">
        <f>SUM(H657+H661+H659)</f>
        <v>18253.5</v>
      </c>
      <c r="I656" s="58">
        <f>SUM(I657+I661+I659)</f>
        <v>18253.5</v>
      </c>
      <c r="J656" s="77">
        <f t="shared" si="137"/>
        <v>100</v>
      </c>
      <c r="K656" s="49"/>
      <c r="L656" s="50"/>
      <c r="M656" s="72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  <c r="AA656" s="75">
        <v>16929.8</v>
      </c>
      <c r="AB656" s="75"/>
      <c r="AC656" s="75">
        <v>17810.8</v>
      </c>
      <c r="AD656" s="75"/>
      <c r="AE656" s="75"/>
      <c r="AF656" s="75"/>
      <c r="AG656" s="75"/>
    </row>
    <row r="657" spans="1:33" s="16" customFormat="1" ht="54.75" customHeight="1">
      <c r="A657" s="23" t="s">
        <v>1</v>
      </c>
      <c r="B657" s="25" t="s">
        <v>181</v>
      </c>
      <c r="C657" s="23" t="s">
        <v>104</v>
      </c>
      <c r="D657" s="23" t="s">
        <v>272</v>
      </c>
      <c r="E657" s="23" t="s">
        <v>373</v>
      </c>
      <c r="F657" s="23" t="s">
        <v>179</v>
      </c>
      <c r="G657" s="58">
        <f>SUM(G658)</f>
        <v>3490.9</v>
      </c>
      <c r="H657" s="58">
        <f>SUM(H658)</f>
        <v>5293.200000000001</v>
      </c>
      <c r="I657" s="58">
        <f>SUM(I658)</f>
        <v>5293.2</v>
      </c>
      <c r="J657" s="77">
        <f t="shared" si="137"/>
        <v>99.99999999999997</v>
      </c>
      <c r="K657" s="49"/>
      <c r="L657" s="50"/>
      <c r="M657" s="72">
        <v>-44.8</v>
      </c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  <c r="AA657" s="75"/>
      <c r="AB657" s="75"/>
      <c r="AC657" s="75"/>
      <c r="AD657" s="75"/>
      <c r="AE657" s="75"/>
      <c r="AF657" s="75"/>
      <c r="AG657" s="75"/>
    </row>
    <row r="658" spans="1:33" s="16" customFormat="1" ht="24.75" customHeight="1">
      <c r="A658" s="23" t="s">
        <v>2</v>
      </c>
      <c r="B658" s="25" t="s">
        <v>182</v>
      </c>
      <c r="C658" s="23" t="s">
        <v>104</v>
      </c>
      <c r="D658" s="23" t="s">
        <v>272</v>
      </c>
      <c r="E658" s="23" t="s">
        <v>373</v>
      </c>
      <c r="F658" s="23" t="s">
        <v>211</v>
      </c>
      <c r="G658" s="58">
        <v>3490.9</v>
      </c>
      <c r="H658" s="58">
        <f>3490.9+127.6+1450.6+224.1</f>
        <v>5293.200000000001</v>
      </c>
      <c r="I658" s="58">
        <v>5293.2</v>
      </c>
      <c r="J658" s="77">
        <f t="shared" si="137"/>
        <v>99.99999999999997</v>
      </c>
      <c r="K658" s="49"/>
      <c r="L658" s="50"/>
      <c r="M658" s="72">
        <f>1108.9+1700</f>
        <v>2808.9</v>
      </c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  <c r="AA658" s="75"/>
      <c r="AB658" s="75"/>
      <c r="AC658" s="75"/>
      <c r="AD658" s="75">
        <v>127.6</v>
      </c>
      <c r="AE658" s="75"/>
      <c r="AF658" s="75"/>
      <c r="AG658" s="75">
        <v>224.1</v>
      </c>
    </row>
    <row r="659" spans="1:33" s="16" customFormat="1" ht="32.25" customHeight="1">
      <c r="A659" s="23" t="s">
        <v>3</v>
      </c>
      <c r="B659" s="22" t="s">
        <v>144</v>
      </c>
      <c r="C659" s="23" t="s">
        <v>104</v>
      </c>
      <c r="D659" s="23" t="s">
        <v>272</v>
      </c>
      <c r="E659" s="23" t="s">
        <v>373</v>
      </c>
      <c r="F659" s="23" t="s">
        <v>109</v>
      </c>
      <c r="G659" s="58">
        <f>SUM(G660)</f>
        <v>93</v>
      </c>
      <c r="H659" s="58">
        <f>SUM(H660)</f>
        <v>55.5</v>
      </c>
      <c r="I659" s="58">
        <f>SUM(I660)</f>
        <v>55.5</v>
      </c>
      <c r="J659" s="77">
        <f t="shared" si="137"/>
        <v>100</v>
      </c>
      <c r="K659" s="49"/>
      <c r="L659" s="50"/>
      <c r="M659" s="72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>
        <v>249.7</v>
      </c>
      <c r="Z659" s="75"/>
      <c r="AA659" s="75"/>
      <c r="AB659" s="75"/>
      <c r="AC659" s="75"/>
      <c r="AD659" s="75"/>
      <c r="AE659" s="75"/>
      <c r="AF659" s="75"/>
      <c r="AG659" s="75"/>
    </row>
    <row r="660" spans="1:33" s="16" customFormat="1" ht="31.5" customHeight="1">
      <c r="A660" s="23" t="s">
        <v>396</v>
      </c>
      <c r="B660" s="22" t="s">
        <v>145</v>
      </c>
      <c r="C660" s="23" t="s">
        <v>104</v>
      </c>
      <c r="D660" s="23" t="s">
        <v>272</v>
      </c>
      <c r="E660" s="23" t="s">
        <v>373</v>
      </c>
      <c r="F660" s="23" t="s">
        <v>102</v>
      </c>
      <c r="G660" s="58">
        <v>93</v>
      </c>
      <c r="H660" s="58">
        <f>93-37.5</f>
        <v>55.5</v>
      </c>
      <c r="I660" s="58">
        <v>55.5</v>
      </c>
      <c r="J660" s="77">
        <f t="shared" si="137"/>
        <v>100</v>
      </c>
      <c r="K660" s="49">
        <v>20546.5</v>
      </c>
      <c r="L660" s="50"/>
      <c r="M660" s="72"/>
      <c r="N660" s="75"/>
      <c r="O660" s="75"/>
      <c r="P660" s="75"/>
      <c r="Q660" s="75"/>
      <c r="R660" s="75"/>
      <c r="S660" s="75"/>
      <c r="T660" s="75">
        <v>20450.9</v>
      </c>
      <c r="U660" s="75"/>
      <c r="V660" s="75"/>
      <c r="W660" s="75"/>
      <c r="X660" s="75"/>
      <c r="Y660" s="75"/>
      <c r="Z660" s="75"/>
      <c r="AA660" s="75"/>
      <c r="AB660" s="75"/>
      <c r="AC660" s="75"/>
      <c r="AD660" s="75"/>
      <c r="AE660" s="75"/>
      <c r="AF660" s="75"/>
      <c r="AG660" s="75"/>
    </row>
    <row r="661" spans="1:33" s="16" customFormat="1" ht="30.75" customHeight="1">
      <c r="A661" s="23" t="s">
        <v>453</v>
      </c>
      <c r="B661" s="22" t="s">
        <v>270</v>
      </c>
      <c r="C661" s="23" t="s">
        <v>104</v>
      </c>
      <c r="D661" s="23" t="s">
        <v>272</v>
      </c>
      <c r="E661" s="23" t="s">
        <v>373</v>
      </c>
      <c r="F661" s="23" t="s">
        <v>163</v>
      </c>
      <c r="G661" s="58">
        <f>SUM(G662)</f>
        <v>14226.9</v>
      </c>
      <c r="H661" s="58">
        <f>SUM(H662)</f>
        <v>12904.8</v>
      </c>
      <c r="I661" s="58">
        <f>SUM(I662)</f>
        <v>12904.8</v>
      </c>
      <c r="J661" s="77">
        <f t="shared" si="137"/>
        <v>100</v>
      </c>
      <c r="K661" s="49"/>
      <c r="L661" s="50"/>
      <c r="M661" s="72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  <c r="AA661" s="75"/>
      <c r="AB661" s="75"/>
      <c r="AC661" s="75"/>
      <c r="AD661" s="75"/>
      <c r="AE661" s="75"/>
      <c r="AF661" s="75"/>
      <c r="AG661" s="75"/>
    </row>
    <row r="662" spans="1:33" s="16" customFormat="1" ht="21.75" customHeight="1">
      <c r="A662" s="23" t="s">
        <v>454</v>
      </c>
      <c r="B662" s="22" t="s">
        <v>165</v>
      </c>
      <c r="C662" s="23" t="s">
        <v>104</v>
      </c>
      <c r="D662" s="23" t="s">
        <v>272</v>
      </c>
      <c r="E662" s="23" t="s">
        <v>373</v>
      </c>
      <c r="F662" s="23" t="s">
        <v>164</v>
      </c>
      <c r="G662" s="58">
        <v>14226.9</v>
      </c>
      <c r="H662" s="58">
        <f>14226.9+297.3-1262.3-133-224.1</f>
        <v>12904.8</v>
      </c>
      <c r="I662" s="58">
        <v>12904.8</v>
      </c>
      <c r="J662" s="77">
        <f t="shared" si="137"/>
        <v>100</v>
      </c>
      <c r="K662" s="49"/>
      <c r="L662" s="50"/>
      <c r="M662" s="72">
        <v>-1907.8</v>
      </c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>
        <f>151.5+83.1</f>
        <v>234.6</v>
      </c>
      <c r="Z662" s="75"/>
      <c r="AA662" s="75"/>
      <c r="AB662" s="75"/>
      <c r="AC662" s="75"/>
      <c r="AD662" s="75">
        <v>297.3</v>
      </c>
      <c r="AE662" s="75"/>
      <c r="AF662" s="75"/>
      <c r="AG662" s="75">
        <f>-133-224.1</f>
        <v>-357.1</v>
      </c>
    </row>
    <row r="663" spans="1:33" s="16" customFormat="1" ht="148.5" customHeight="1">
      <c r="A663" s="23" t="s">
        <v>397</v>
      </c>
      <c r="B663" s="27" t="s">
        <v>485</v>
      </c>
      <c r="C663" s="23" t="s">
        <v>104</v>
      </c>
      <c r="D663" s="23" t="s">
        <v>272</v>
      </c>
      <c r="E663" s="23" t="s">
        <v>398</v>
      </c>
      <c r="F663" s="23"/>
      <c r="G663" s="54">
        <f>G664+G668+G666</f>
        <v>23458.8</v>
      </c>
      <c r="H663" s="54">
        <f>H664+H668+H666</f>
        <v>25396.4</v>
      </c>
      <c r="I663" s="54">
        <f>I664+I668+I666</f>
        <v>25396.4</v>
      </c>
      <c r="J663" s="77">
        <f t="shared" si="137"/>
        <v>100</v>
      </c>
      <c r="K663" s="49"/>
      <c r="L663" s="50"/>
      <c r="M663" s="72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  <c r="AA663" s="75">
        <v>22218.1</v>
      </c>
      <c r="AB663" s="75"/>
      <c r="AC663" s="75">
        <v>23458.8</v>
      </c>
      <c r="AD663" s="75"/>
      <c r="AE663" s="75"/>
      <c r="AF663" s="75"/>
      <c r="AG663" s="75"/>
    </row>
    <row r="664" spans="1:33" s="16" customFormat="1" ht="56.25" customHeight="1">
      <c r="A664" s="23" t="s">
        <v>627</v>
      </c>
      <c r="B664" s="25" t="s">
        <v>181</v>
      </c>
      <c r="C664" s="23" t="s">
        <v>104</v>
      </c>
      <c r="D664" s="23" t="s">
        <v>272</v>
      </c>
      <c r="E664" s="23" t="s">
        <v>398</v>
      </c>
      <c r="F664" s="23" t="s">
        <v>179</v>
      </c>
      <c r="G664" s="54">
        <f>G665</f>
        <v>7259.5</v>
      </c>
      <c r="H664" s="54">
        <f>H665</f>
        <v>7986.4</v>
      </c>
      <c r="I664" s="54">
        <f>I665</f>
        <v>7986.4</v>
      </c>
      <c r="J664" s="77">
        <f t="shared" si="137"/>
        <v>100</v>
      </c>
      <c r="K664" s="49"/>
      <c r="L664" s="50"/>
      <c r="M664" s="72">
        <v>-67.9</v>
      </c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  <c r="AA664" s="75"/>
      <c r="AB664" s="75"/>
      <c r="AC664" s="75"/>
      <c r="AD664" s="75"/>
      <c r="AE664" s="75"/>
      <c r="AF664" s="75"/>
      <c r="AG664" s="75"/>
    </row>
    <row r="665" spans="1:33" s="16" customFormat="1" ht="22.5" customHeight="1">
      <c r="A665" s="23" t="s">
        <v>851</v>
      </c>
      <c r="B665" s="25" t="s">
        <v>182</v>
      </c>
      <c r="C665" s="23" t="s">
        <v>104</v>
      </c>
      <c r="D665" s="23" t="s">
        <v>272</v>
      </c>
      <c r="E665" s="23" t="s">
        <v>398</v>
      </c>
      <c r="F665" s="23" t="s">
        <v>211</v>
      </c>
      <c r="G665" s="58">
        <v>7259.5</v>
      </c>
      <c r="H665" s="58">
        <v>7986.4</v>
      </c>
      <c r="I665" s="58">
        <v>7986.4</v>
      </c>
      <c r="J665" s="77">
        <f t="shared" si="137"/>
        <v>100</v>
      </c>
      <c r="K665" s="49"/>
      <c r="L665" s="50"/>
      <c r="M665" s="72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>
        <v>269.6</v>
      </c>
      <c r="AE665" s="75"/>
      <c r="AF665" s="75"/>
      <c r="AG665" s="75">
        <v>398.3</v>
      </c>
    </row>
    <row r="666" spans="1:33" s="16" customFormat="1" ht="33.75" customHeight="1">
      <c r="A666" s="23" t="s">
        <v>852</v>
      </c>
      <c r="B666" s="22" t="s">
        <v>144</v>
      </c>
      <c r="C666" s="23" t="s">
        <v>104</v>
      </c>
      <c r="D666" s="23" t="s">
        <v>272</v>
      </c>
      <c r="E666" s="23" t="s">
        <v>398</v>
      </c>
      <c r="F666" s="23" t="s">
        <v>109</v>
      </c>
      <c r="G666" s="54">
        <f>G667</f>
        <v>191.3</v>
      </c>
      <c r="H666" s="54">
        <f>H667</f>
        <v>173.9</v>
      </c>
      <c r="I666" s="54">
        <f>I667</f>
        <v>173.9</v>
      </c>
      <c r="J666" s="77">
        <f t="shared" si="137"/>
        <v>100</v>
      </c>
      <c r="K666" s="49"/>
      <c r="L666" s="50"/>
      <c r="M666" s="72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>
        <f>-581.9+162.8</f>
        <v>-419.09999999999997</v>
      </c>
      <c r="Z666" s="75"/>
      <c r="AA666" s="75"/>
      <c r="AB666" s="75"/>
      <c r="AC666" s="75"/>
      <c r="AD666" s="75"/>
      <c r="AE666" s="75"/>
      <c r="AF666" s="75"/>
      <c r="AG666" s="75"/>
    </row>
    <row r="667" spans="1:33" s="16" customFormat="1" ht="37.5" customHeight="1">
      <c r="A667" s="23" t="s">
        <v>853</v>
      </c>
      <c r="B667" s="22" t="s">
        <v>145</v>
      </c>
      <c r="C667" s="23" t="s">
        <v>104</v>
      </c>
      <c r="D667" s="23" t="s">
        <v>272</v>
      </c>
      <c r="E667" s="23" t="s">
        <v>398</v>
      </c>
      <c r="F667" s="23" t="s">
        <v>102</v>
      </c>
      <c r="G667" s="58">
        <v>191.3</v>
      </c>
      <c r="H667" s="58">
        <f>191.3-18+0.6</f>
        <v>173.9</v>
      </c>
      <c r="I667" s="58">
        <v>173.9</v>
      </c>
      <c r="J667" s="77">
        <f t="shared" si="137"/>
        <v>100</v>
      </c>
      <c r="K667" s="49"/>
      <c r="L667" s="50"/>
      <c r="M667" s="72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>
        <f>-18+0.6</f>
        <v>-17.4</v>
      </c>
      <c r="AE667" s="75"/>
      <c r="AF667" s="75"/>
      <c r="AG667" s="75"/>
    </row>
    <row r="668" spans="1:33" s="16" customFormat="1" ht="30" customHeight="1">
      <c r="A668" s="23" t="s">
        <v>455</v>
      </c>
      <c r="B668" s="22" t="s">
        <v>270</v>
      </c>
      <c r="C668" s="23" t="s">
        <v>104</v>
      </c>
      <c r="D668" s="23" t="s">
        <v>272</v>
      </c>
      <c r="E668" s="23" t="s">
        <v>398</v>
      </c>
      <c r="F668" s="23" t="s">
        <v>163</v>
      </c>
      <c r="G668" s="54">
        <f>G669</f>
        <v>16008</v>
      </c>
      <c r="H668" s="54">
        <f>H669</f>
        <v>17236.1</v>
      </c>
      <c r="I668" s="54">
        <f>I669</f>
        <v>17236.1</v>
      </c>
      <c r="J668" s="77">
        <f t="shared" si="137"/>
        <v>100</v>
      </c>
      <c r="K668" s="49"/>
      <c r="L668" s="50"/>
      <c r="M668" s="72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  <c r="AA668" s="75"/>
      <c r="AB668" s="75"/>
      <c r="AC668" s="75"/>
      <c r="AD668" s="75"/>
      <c r="AE668" s="75"/>
      <c r="AF668" s="75"/>
      <c r="AG668" s="75"/>
    </row>
    <row r="669" spans="1:33" s="16" customFormat="1" ht="27" customHeight="1">
      <c r="A669" s="23" t="s">
        <v>497</v>
      </c>
      <c r="B669" s="22" t="s">
        <v>165</v>
      </c>
      <c r="C669" s="23" t="s">
        <v>104</v>
      </c>
      <c r="D669" s="23" t="s">
        <v>272</v>
      </c>
      <c r="E669" s="23" t="s">
        <v>398</v>
      </c>
      <c r="F669" s="23" t="s">
        <v>164</v>
      </c>
      <c r="G669" s="58">
        <v>16008</v>
      </c>
      <c r="H669" s="58">
        <v>17236.1</v>
      </c>
      <c r="I669" s="58">
        <v>17236.1</v>
      </c>
      <c r="J669" s="77">
        <f t="shared" si="137"/>
        <v>100</v>
      </c>
      <c r="K669" s="49"/>
      <c r="L669" s="50"/>
      <c r="M669" s="72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>
        <v>3152.1</v>
      </c>
      <c r="Z669" s="75"/>
      <c r="AA669" s="75"/>
      <c r="AB669" s="75"/>
      <c r="AC669" s="75"/>
      <c r="AD669" s="75">
        <v>102</v>
      </c>
      <c r="AE669" s="75"/>
      <c r="AF669" s="75"/>
      <c r="AG669" s="75">
        <v>235.5</v>
      </c>
    </row>
    <row r="670" spans="1:33" s="16" customFormat="1" ht="93" customHeight="1">
      <c r="A670" s="23" t="s">
        <v>527</v>
      </c>
      <c r="B670" s="25" t="s">
        <v>961</v>
      </c>
      <c r="C670" s="23" t="s">
        <v>104</v>
      </c>
      <c r="D670" s="23" t="s">
        <v>272</v>
      </c>
      <c r="E670" s="23" t="s">
        <v>784</v>
      </c>
      <c r="F670" s="23"/>
      <c r="G670" s="58">
        <f aca="true" t="shared" si="138" ref="G670:I674">SUM(G671)</f>
        <v>200</v>
      </c>
      <c r="H670" s="58">
        <f t="shared" si="138"/>
        <v>74.7</v>
      </c>
      <c r="I670" s="58">
        <f t="shared" si="138"/>
        <v>74.7</v>
      </c>
      <c r="J670" s="77">
        <f t="shared" si="137"/>
        <v>100</v>
      </c>
      <c r="K670" s="49"/>
      <c r="L670" s="50"/>
      <c r="M670" s="72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  <c r="AA670" s="75"/>
      <c r="AB670" s="75"/>
      <c r="AC670" s="75"/>
      <c r="AD670" s="75"/>
      <c r="AE670" s="75"/>
      <c r="AF670" s="75"/>
      <c r="AG670" s="75"/>
    </row>
    <row r="671" spans="1:33" s="16" customFormat="1" ht="36.75" customHeight="1">
      <c r="A671" s="23" t="s">
        <v>528</v>
      </c>
      <c r="B671" s="22" t="s">
        <v>145</v>
      </c>
      <c r="C671" s="23" t="s">
        <v>104</v>
      </c>
      <c r="D671" s="23" t="s">
        <v>272</v>
      </c>
      <c r="E671" s="23" t="s">
        <v>784</v>
      </c>
      <c r="F671" s="23" t="s">
        <v>109</v>
      </c>
      <c r="G671" s="58">
        <f t="shared" si="138"/>
        <v>200</v>
      </c>
      <c r="H671" s="58">
        <f t="shared" si="138"/>
        <v>74.7</v>
      </c>
      <c r="I671" s="58">
        <f t="shared" si="138"/>
        <v>74.7</v>
      </c>
      <c r="J671" s="77">
        <f t="shared" si="137"/>
        <v>100</v>
      </c>
      <c r="K671" s="49"/>
      <c r="L671" s="50"/>
      <c r="M671" s="72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  <c r="AA671" s="75"/>
      <c r="AB671" s="75"/>
      <c r="AC671" s="75"/>
      <c r="AD671" s="75"/>
      <c r="AE671" s="75"/>
      <c r="AF671" s="75"/>
      <c r="AG671" s="75"/>
    </row>
    <row r="672" spans="1:33" s="16" customFormat="1" ht="33" customHeight="1">
      <c r="A672" s="23" t="s">
        <v>628</v>
      </c>
      <c r="B672" s="22" t="s">
        <v>270</v>
      </c>
      <c r="C672" s="23" t="s">
        <v>104</v>
      </c>
      <c r="D672" s="23" t="s">
        <v>272</v>
      </c>
      <c r="E672" s="23" t="s">
        <v>784</v>
      </c>
      <c r="F672" s="23" t="s">
        <v>102</v>
      </c>
      <c r="G672" s="58">
        <v>200</v>
      </c>
      <c r="H672" s="58">
        <f>200-125.3</f>
        <v>74.7</v>
      </c>
      <c r="I672" s="58">
        <v>74.7</v>
      </c>
      <c r="J672" s="77">
        <f t="shared" si="137"/>
        <v>100</v>
      </c>
      <c r="K672" s="49"/>
      <c r="L672" s="50"/>
      <c r="M672" s="72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>
        <v>200</v>
      </c>
      <c r="AA672" s="75"/>
      <c r="AB672" s="75">
        <v>200</v>
      </c>
      <c r="AC672" s="75"/>
      <c r="AD672" s="75"/>
      <c r="AE672" s="75"/>
      <c r="AF672" s="75">
        <v>-125.3</v>
      </c>
      <c r="AG672" s="75"/>
    </row>
    <row r="673" spans="1:33" s="16" customFormat="1" ht="103.5" customHeight="1">
      <c r="A673" s="23" t="s">
        <v>629</v>
      </c>
      <c r="B673" s="22" t="s">
        <v>960</v>
      </c>
      <c r="C673" s="23" t="s">
        <v>104</v>
      </c>
      <c r="D673" s="23" t="s">
        <v>272</v>
      </c>
      <c r="E673" s="23" t="s">
        <v>785</v>
      </c>
      <c r="F673" s="23"/>
      <c r="G673" s="58">
        <f t="shared" si="138"/>
        <v>200</v>
      </c>
      <c r="H673" s="58">
        <f t="shared" si="138"/>
        <v>112.7</v>
      </c>
      <c r="I673" s="58">
        <f t="shared" si="138"/>
        <v>102</v>
      </c>
      <c r="J673" s="77">
        <f t="shared" si="137"/>
        <v>90.50576752440107</v>
      </c>
      <c r="K673" s="49"/>
      <c r="L673" s="50"/>
      <c r="M673" s="72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  <c r="AA673" s="75"/>
      <c r="AB673" s="75">
        <v>200</v>
      </c>
      <c r="AC673" s="75"/>
      <c r="AD673" s="75"/>
      <c r="AE673" s="75"/>
      <c r="AF673" s="75"/>
      <c r="AG673" s="75"/>
    </row>
    <row r="674" spans="1:33" s="16" customFormat="1" ht="33" customHeight="1">
      <c r="A674" s="23" t="s">
        <v>529</v>
      </c>
      <c r="B674" s="22" t="s">
        <v>145</v>
      </c>
      <c r="C674" s="23" t="s">
        <v>104</v>
      </c>
      <c r="D674" s="23" t="s">
        <v>272</v>
      </c>
      <c r="E674" s="23" t="s">
        <v>785</v>
      </c>
      <c r="F674" s="23" t="s">
        <v>109</v>
      </c>
      <c r="G674" s="58">
        <f t="shared" si="138"/>
        <v>200</v>
      </c>
      <c r="H674" s="58">
        <f t="shared" si="138"/>
        <v>112.7</v>
      </c>
      <c r="I674" s="58">
        <f t="shared" si="138"/>
        <v>102</v>
      </c>
      <c r="J674" s="77">
        <f t="shared" si="137"/>
        <v>90.50576752440107</v>
      </c>
      <c r="K674" s="49"/>
      <c r="L674" s="50"/>
      <c r="M674" s="72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  <c r="AA674" s="75"/>
      <c r="AB674" s="75"/>
      <c r="AC674" s="75"/>
      <c r="AD674" s="75"/>
      <c r="AE674" s="75"/>
      <c r="AF674" s="75"/>
      <c r="AG674" s="75"/>
    </row>
    <row r="675" spans="1:33" s="16" customFormat="1" ht="33" customHeight="1">
      <c r="A675" s="23" t="s">
        <v>1165</v>
      </c>
      <c r="B675" s="22" t="s">
        <v>270</v>
      </c>
      <c r="C675" s="23" t="s">
        <v>104</v>
      </c>
      <c r="D675" s="23" t="s">
        <v>272</v>
      </c>
      <c r="E675" s="23" t="s">
        <v>785</v>
      </c>
      <c r="F675" s="23" t="s">
        <v>102</v>
      </c>
      <c r="G675" s="58">
        <v>200</v>
      </c>
      <c r="H675" s="58">
        <f>200-50-37.3</f>
        <v>112.7</v>
      </c>
      <c r="I675" s="58">
        <v>102</v>
      </c>
      <c r="J675" s="77">
        <f t="shared" si="137"/>
        <v>90.50576752440107</v>
      </c>
      <c r="K675" s="49"/>
      <c r="L675" s="50"/>
      <c r="M675" s="72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  <c r="AA675" s="75"/>
      <c r="AB675" s="75"/>
      <c r="AC675" s="75"/>
      <c r="AD675" s="75"/>
      <c r="AE675" s="75"/>
      <c r="AF675" s="75">
        <v>-37.3</v>
      </c>
      <c r="AG675" s="75"/>
    </row>
    <row r="676" spans="1:33" s="16" customFormat="1" ht="21.75" customHeight="1">
      <c r="A676" s="23" t="s">
        <v>1166</v>
      </c>
      <c r="B676" s="35" t="s">
        <v>282</v>
      </c>
      <c r="C676" s="36" t="s">
        <v>104</v>
      </c>
      <c r="D676" s="36" t="s">
        <v>283</v>
      </c>
      <c r="E676" s="36" t="s">
        <v>160</v>
      </c>
      <c r="F676" s="36" t="s">
        <v>160</v>
      </c>
      <c r="G676" s="78">
        <f aca="true" t="shared" si="139" ref="G676:I677">G677</f>
        <v>195059.4</v>
      </c>
      <c r="H676" s="78">
        <f t="shared" si="139"/>
        <v>214107.69999999998</v>
      </c>
      <c r="I676" s="78">
        <f t="shared" si="139"/>
        <v>213687.6</v>
      </c>
      <c r="J676" s="77">
        <f t="shared" si="137"/>
        <v>99.80379033542465</v>
      </c>
      <c r="K676" s="49"/>
      <c r="L676" s="50">
        <v>22445.4</v>
      </c>
      <c r="M676" s="72"/>
      <c r="N676" s="75"/>
      <c r="O676" s="75"/>
      <c r="P676" s="75"/>
      <c r="Q676" s="75"/>
      <c r="R676" s="75"/>
      <c r="S676" s="75"/>
      <c r="T676" s="75"/>
      <c r="U676" s="75">
        <v>22906.9</v>
      </c>
      <c r="V676" s="75"/>
      <c r="W676" s="75"/>
      <c r="X676" s="75"/>
      <c r="Y676" s="75"/>
      <c r="Z676" s="75"/>
      <c r="AA676" s="75"/>
      <c r="AB676" s="75"/>
      <c r="AC676" s="75"/>
      <c r="AD676" s="75"/>
      <c r="AE676" s="75"/>
      <c r="AF676" s="75"/>
      <c r="AG676" s="75"/>
    </row>
    <row r="677" spans="1:33" s="16" customFormat="1" ht="30.75" customHeight="1">
      <c r="A677" s="23" t="s">
        <v>1167</v>
      </c>
      <c r="B677" s="24" t="s">
        <v>268</v>
      </c>
      <c r="C677" s="23" t="s">
        <v>104</v>
      </c>
      <c r="D677" s="23" t="s">
        <v>283</v>
      </c>
      <c r="E677" s="23" t="s">
        <v>356</v>
      </c>
      <c r="F677" s="23"/>
      <c r="G677" s="54">
        <f t="shared" si="139"/>
        <v>195059.4</v>
      </c>
      <c r="H677" s="54">
        <f t="shared" si="139"/>
        <v>214107.69999999998</v>
      </c>
      <c r="I677" s="54">
        <f t="shared" si="139"/>
        <v>213687.6</v>
      </c>
      <c r="J677" s="77">
        <f t="shared" si="137"/>
        <v>99.80379033542465</v>
      </c>
      <c r="K677" s="49"/>
      <c r="L677" s="50"/>
      <c r="M677" s="72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  <c r="AA677" s="75"/>
      <c r="AB677" s="75"/>
      <c r="AC677" s="75"/>
      <c r="AD677" s="75"/>
      <c r="AE677" s="75"/>
      <c r="AF677" s="75"/>
      <c r="AG677" s="75"/>
    </row>
    <row r="678" spans="1:33" s="16" customFormat="1" ht="25.5">
      <c r="A678" s="23" t="s">
        <v>530</v>
      </c>
      <c r="B678" s="24" t="s">
        <v>269</v>
      </c>
      <c r="C678" s="23" t="s">
        <v>104</v>
      </c>
      <c r="D678" s="23" t="s">
        <v>283</v>
      </c>
      <c r="E678" s="23" t="s">
        <v>357</v>
      </c>
      <c r="F678" s="23"/>
      <c r="G678" s="54">
        <f>G679+G751+G688+G738+G703+G748+G745+G728+G733+G756+G698+G759+G710+G713+G716+G719+G722+G725+G693</f>
        <v>195059.4</v>
      </c>
      <c r="H678" s="54">
        <f>H679+H751+H688+H738+H703+H748+H745+H728+H733+H756+H698+H759+H710+H713+H716+H719+H722+H725+H693</f>
        <v>214107.69999999998</v>
      </c>
      <c r="I678" s="54">
        <f>I679+I751+I688+I738+I703+I748+I745+I728+I733+I756+I698+I759+I710+I713+I716+I719+I722+I725+I693</f>
        <v>213687.6</v>
      </c>
      <c r="J678" s="77">
        <f t="shared" si="137"/>
        <v>99.80379033542465</v>
      </c>
      <c r="K678" s="49"/>
      <c r="L678" s="50"/>
      <c r="M678" s="72"/>
      <c r="N678" s="75">
        <f>-15.9+110+463</f>
        <v>557.1</v>
      </c>
      <c r="O678" s="75"/>
      <c r="P678" s="75"/>
      <c r="Q678" s="75"/>
      <c r="R678" s="75"/>
      <c r="S678" s="75"/>
      <c r="T678" s="75"/>
      <c r="U678" s="75"/>
      <c r="V678" s="75"/>
      <c r="W678" s="75"/>
      <c r="X678" s="75">
        <v>2398.4</v>
      </c>
      <c r="Y678" s="75"/>
      <c r="Z678" s="75"/>
      <c r="AA678" s="75"/>
      <c r="AB678" s="75"/>
      <c r="AC678" s="75"/>
      <c r="AD678" s="75"/>
      <c r="AE678" s="75"/>
      <c r="AF678" s="75"/>
      <c r="AG678" s="75"/>
    </row>
    <row r="679" spans="1:33" s="16" customFormat="1" ht="57.75" customHeight="1">
      <c r="A679" s="23" t="s">
        <v>531</v>
      </c>
      <c r="B679" s="22" t="s">
        <v>782</v>
      </c>
      <c r="C679" s="23" t="s">
        <v>104</v>
      </c>
      <c r="D679" s="23" t="s">
        <v>283</v>
      </c>
      <c r="E679" s="23" t="s">
        <v>783</v>
      </c>
      <c r="F679" s="23"/>
      <c r="G679" s="54">
        <f>G680+G682+G684+G686</f>
        <v>41326</v>
      </c>
      <c r="H679" s="54">
        <f>H680+H682+H684+H686</f>
        <v>45527.5</v>
      </c>
      <c r="I679" s="54">
        <f>I680+I682+I684+I686</f>
        <v>45187.899999999994</v>
      </c>
      <c r="J679" s="77">
        <f t="shared" si="137"/>
        <v>99.25407720608422</v>
      </c>
      <c r="K679" s="49"/>
      <c r="L679" s="50"/>
      <c r="M679" s="72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>
        <v>35690.2</v>
      </c>
      <c r="AA679" s="75"/>
      <c r="AB679" s="75">
        <v>41326</v>
      </c>
      <c r="AC679" s="75"/>
      <c r="AD679" s="75"/>
      <c r="AE679" s="75"/>
      <c r="AF679" s="75"/>
      <c r="AG679" s="75"/>
    </row>
    <row r="680" spans="1:33" s="16" customFormat="1" ht="54" customHeight="1">
      <c r="A680" s="23" t="s">
        <v>727</v>
      </c>
      <c r="B680" s="25" t="s">
        <v>181</v>
      </c>
      <c r="C680" s="23" t="s">
        <v>104</v>
      </c>
      <c r="D680" s="23" t="s">
        <v>283</v>
      </c>
      <c r="E680" s="23" t="s">
        <v>783</v>
      </c>
      <c r="F680" s="23" t="s">
        <v>179</v>
      </c>
      <c r="G680" s="54">
        <f>G681</f>
        <v>7779.4</v>
      </c>
      <c r="H680" s="54">
        <f>H681</f>
        <v>7839</v>
      </c>
      <c r="I680" s="54">
        <f>I681</f>
        <v>7838.6</v>
      </c>
      <c r="J680" s="77">
        <f t="shared" si="137"/>
        <v>99.99489730833014</v>
      </c>
      <c r="K680" s="49"/>
      <c r="L680" s="50"/>
      <c r="M680" s="72"/>
      <c r="N680" s="75">
        <f>SUM(315-195.2+200+364.5-293)-0.1+102.8-42+200+386</f>
        <v>1038</v>
      </c>
      <c r="O680" s="75"/>
      <c r="P680" s="75"/>
      <c r="Q680" s="75"/>
      <c r="R680" s="75"/>
      <c r="S680" s="75"/>
      <c r="T680" s="75"/>
      <c r="U680" s="75"/>
      <c r="V680" s="75"/>
      <c r="W680" s="75"/>
      <c r="X680" s="75">
        <f>32+1389.3+1121.1+140</f>
        <v>2682.3999999999996</v>
      </c>
      <c r="Y680" s="75"/>
      <c r="Z680" s="75"/>
      <c r="AA680" s="75"/>
      <c r="AB680" s="75"/>
      <c r="AC680" s="75"/>
      <c r="AD680" s="75"/>
      <c r="AE680" s="75"/>
      <c r="AF680" s="75"/>
      <c r="AG680" s="75"/>
    </row>
    <row r="681" spans="1:33" s="16" customFormat="1" ht="20.25" customHeight="1">
      <c r="A681" s="23" t="s">
        <v>1168</v>
      </c>
      <c r="B681" s="25" t="s">
        <v>182</v>
      </c>
      <c r="C681" s="23" t="s">
        <v>104</v>
      </c>
      <c r="D681" s="23" t="s">
        <v>283</v>
      </c>
      <c r="E681" s="23" t="s">
        <v>783</v>
      </c>
      <c r="F681" s="23" t="s">
        <v>211</v>
      </c>
      <c r="G681" s="58">
        <v>7779.4</v>
      </c>
      <c r="H681" s="58">
        <f>7779.4+59.6</f>
        <v>7839</v>
      </c>
      <c r="I681" s="58">
        <v>7838.6</v>
      </c>
      <c r="J681" s="77">
        <f t="shared" si="137"/>
        <v>99.99489730833014</v>
      </c>
      <c r="K681" s="49"/>
      <c r="L681" s="50"/>
      <c r="M681" s="72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  <c r="AB681" s="75"/>
      <c r="AC681" s="75"/>
      <c r="AD681" s="75"/>
      <c r="AE681" s="75">
        <v>59.6</v>
      </c>
      <c r="AF681" s="75"/>
      <c r="AG681" s="75"/>
    </row>
    <row r="682" spans="1:33" s="16" customFormat="1" ht="30.75" customHeight="1">
      <c r="A682" s="23" t="s">
        <v>1169</v>
      </c>
      <c r="B682" s="22" t="s">
        <v>144</v>
      </c>
      <c r="C682" s="23" t="s">
        <v>104</v>
      </c>
      <c r="D682" s="23" t="s">
        <v>283</v>
      </c>
      <c r="E682" s="23" t="s">
        <v>783</v>
      </c>
      <c r="F682" s="23" t="s">
        <v>109</v>
      </c>
      <c r="G682" s="54">
        <f>G683</f>
        <v>15631.5</v>
      </c>
      <c r="H682" s="54">
        <f>H683</f>
        <v>17836.8</v>
      </c>
      <c r="I682" s="54">
        <f>I683</f>
        <v>17499.6</v>
      </c>
      <c r="J682" s="77">
        <f t="shared" si="137"/>
        <v>98.10952637244348</v>
      </c>
      <c r="K682" s="49"/>
      <c r="L682" s="50"/>
      <c r="M682" s="72"/>
      <c r="N682" s="75">
        <f>284.1+463.3</f>
        <v>747.4000000000001</v>
      </c>
      <c r="O682" s="75"/>
      <c r="P682" s="75"/>
      <c r="Q682" s="75"/>
      <c r="R682" s="75"/>
      <c r="S682" s="75"/>
      <c r="T682" s="75"/>
      <c r="U682" s="75"/>
      <c r="V682" s="75"/>
      <c r="W682" s="75"/>
      <c r="X682" s="75">
        <f>353.4-759.5+1700</f>
        <v>1293.9</v>
      </c>
      <c r="Y682" s="75"/>
      <c r="Z682" s="75"/>
      <c r="AA682" s="75"/>
      <c r="AB682" s="75"/>
      <c r="AC682" s="75"/>
      <c r="AD682" s="75"/>
      <c r="AE682" s="75"/>
      <c r="AF682" s="75"/>
      <c r="AG682" s="75"/>
    </row>
    <row r="683" spans="1:33" s="16" customFormat="1" ht="32.25" customHeight="1">
      <c r="A683" s="23" t="s">
        <v>1170</v>
      </c>
      <c r="B683" s="22" t="s">
        <v>145</v>
      </c>
      <c r="C683" s="23" t="s">
        <v>104</v>
      </c>
      <c r="D683" s="23" t="s">
        <v>283</v>
      </c>
      <c r="E683" s="23" t="s">
        <v>783</v>
      </c>
      <c r="F683" s="23" t="s">
        <v>102</v>
      </c>
      <c r="G683" s="58">
        <v>15631.5</v>
      </c>
      <c r="H683" s="58">
        <f>15631.5+529+713.8+680+282.5-0.1+0.1</f>
        <v>17836.8</v>
      </c>
      <c r="I683" s="58">
        <v>17499.6</v>
      </c>
      <c r="J683" s="77">
        <f t="shared" si="137"/>
        <v>98.10952637244348</v>
      </c>
      <c r="K683" s="49"/>
      <c r="L683" s="50"/>
      <c r="M683" s="72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43"/>
      <c r="AA683" s="75"/>
      <c r="AB683" s="75"/>
      <c r="AC683" s="75"/>
      <c r="AD683" s="75"/>
      <c r="AE683" s="75">
        <v>529</v>
      </c>
      <c r="AF683" s="75">
        <f>680+282.5</f>
        <v>962.5</v>
      </c>
      <c r="AG683" s="75"/>
    </row>
    <row r="684" spans="1:33" s="16" customFormat="1" ht="30.75" customHeight="1">
      <c r="A684" s="23" t="s">
        <v>1171</v>
      </c>
      <c r="B684" s="22" t="s">
        <v>270</v>
      </c>
      <c r="C684" s="23" t="s">
        <v>104</v>
      </c>
      <c r="D684" s="23" t="s">
        <v>283</v>
      </c>
      <c r="E684" s="23" t="s">
        <v>783</v>
      </c>
      <c r="F684" s="23" t="s">
        <v>163</v>
      </c>
      <c r="G684" s="54">
        <f>G685</f>
        <v>17732</v>
      </c>
      <c r="H684" s="54">
        <f>H685</f>
        <v>19841</v>
      </c>
      <c r="I684" s="54">
        <f>I685</f>
        <v>19841</v>
      </c>
      <c r="J684" s="77">
        <f t="shared" si="137"/>
        <v>100</v>
      </c>
      <c r="K684" s="49"/>
      <c r="L684" s="50"/>
      <c r="M684" s="72"/>
      <c r="N684" s="75">
        <v>256.2</v>
      </c>
      <c r="O684" s="75"/>
      <c r="P684" s="75"/>
      <c r="Q684" s="75"/>
      <c r="R684" s="75"/>
      <c r="S684" s="75"/>
      <c r="T684" s="75"/>
      <c r="U684" s="75"/>
      <c r="V684" s="75"/>
      <c r="W684" s="75"/>
      <c r="X684" s="75">
        <v>27.7</v>
      </c>
      <c r="Y684" s="75"/>
      <c r="Z684" s="75"/>
      <c r="AA684" s="75"/>
      <c r="AB684" s="75"/>
      <c r="AC684" s="75"/>
      <c r="AD684" s="75"/>
      <c r="AE684" s="75"/>
      <c r="AF684" s="75"/>
      <c r="AG684" s="75"/>
    </row>
    <row r="685" spans="1:33" s="16" customFormat="1" ht="18" customHeight="1">
      <c r="A685" s="23" t="s">
        <v>1172</v>
      </c>
      <c r="B685" s="22" t="s">
        <v>165</v>
      </c>
      <c r="C685" s="23" t="s">
        <v>104</v>
      </c>
      <c r="D685" s="23" t="s">
        <v>283</v>
      </c>
      <c r="E685" s="23" t="s">
        <v>783</v>
      </c>
      <c r="F685" s="23" t="s">
        <v>164</v>
      </c>
      <c r="G685" s="58">
        <v>17732</v>
      </c>
      <c r="H685" s="58">
        <f>17732+251+158+1700</f>
        <v>19841</v>
      </c>
      <c r="I685" s="58">
        <v>19841</v>
      </c>
      <c r="J685" s="77">
        <f t="shared" si="137"/>
        <v>100</v>
      </c>
      <c r="K685" s="49"/>
      <c r="L685" s="50">
        <v>2289.7</v>
      </c>
      <c r="M685" s="72"/>
      <c r="N685" s="75"/>
      <c r="O685" s="75"/>
      <c r="P685" s="75"/>
      <c r="Q685" s="75"/>
      <c r="R685" s="75"/>
      <c r="S685" s="75"/>
      <c r="T685" s="75"/>
      <c r="U685" s="75">
        <v>3950.3</v>
      </c>
      <c r="V685" s="75"/>
      <c r="W685" s="75"/>
      <c r="X685" s="75"/>
      <c r="Y685" s="75"/>
      <c r="Z685" s="75"/>
      <c r="AA685" s="75"/>
      <c r="AB685" s="75"/>
      <c r="AC685" s="75"/>
      <c r="AD685" s="75"/>
      <c r="AE685" s="75"/>
      <c r="AF685" s="75">
        <f>158+1700</f>
        <v>1858</v>
      </c>
      <c r="AG685" s="75"/>
    </row>
    <row r="686" spans="1:33" s="16" customFormat="1" ht="18" customHeight="1">
      <c r="A686" s="23" t="s">
        <v>1173</v>
      </c>
      <c r="B686" s="25" t="s">
        <v>198</v>
      </c>
      <c r="C686" s="23" t="s">
        <v>104</v>
      </c>
      <c r="D686" s="23" t="s">
        <v>283</v>
      </c>
      <c r="E686" s="23" t="s">
        <v>783</v>
      </c>
      <c r="F686" s="23" t="s">
        <v>201</v>
      </c>
      <c r="G686" s="58">
        <f>G687</f>
        <v>183.1</v>
      </c>
      <c r="H686" s="58">
        <f>H687</f>
        <v>10.699999999999996</v>
      </c>
      <c r="I686" s="58">
        <f>I687</f>
        <v>8.7</v>
      </c>
      <c r="J686" s="77">
        <f t="shared" si="137"/>
        <v>81.3084112149533</v>
      </c>
      <c r="K686" s="49"/>
      <c r="L686" s="50"/>
      <c r="M686" s="72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  <c r="AA686" s="75"/>
      <c r="AB686" s="75"/>
      <c r="AC686" s="75"/>
      <c r="AD686" s="75"/>
      <c r="AE686" s="75"/>
      <c r="AF686" s="75"/>
      <c r="AG686" s="75"/>
    </row>
    <row r="687" spans="1:33" s="16" customFormat="1" ht="18.75" customHeight="1">
      <c r="A687" s="23" t="s">
        <v>630</v>
      </c>
      <c r="B687" s="25" t="s">
        <v>199</v>
      </c>
      <c r="C687" s="23" t="s">
        <v>104</v>
      </c>
      <c r="D687" s="23" t="s">
        <v>283</v>
      </c>
      <c r="E687" s="23" t="s">
        <v>783</v>
      </c>
      <c r="F687" s="23" t="s">
        <v>202</v>
      </c>
      <c r="G687" s="58">
        <v>183.1</v>
      </c>
      <c r="H687" s="58">
        <f>183.1-120-52.4</f>
        <v>10.699999999999996</v>
      </c>
      <c r="I687" s="58">
        <v>8.7</v>
      </c>
      <c r="J687" s="77">
        <f t="shared" si="137"/>
        <v>81.3084112149533</v>
      </c>
      <c r="K687" s="49"/>
      <c r="L687" s="50"/>
      <c r="M687" s="72">
        <f>740.4+249.6</f>
        <v>990</v>
      </c>
      <c r="N687" s="75">
        <f>-198.1-29.1-79.1-35.9-20-23</f>
        <v>-385.19999999999993</v>
      </c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5"/>
      <c r="AB687" s="75"/>
      <c r="AC687" s="75"/>
      <c r="AD687" s="75"/>
      <c r="AE687" s="75">
        <v>-120</v>
      </c>
      <c r="AF687" s="75">
        <v>-52.4</v>
      </c>
      <c r="AG687" s="75"/>
    </row>
    <row r="688" spans="1:33" s="16" customFormat="1" ht="84" customHeight="1">
      <c r="A688" s="23" t="s">
        <v>532</v>
      </c>
      <c r="B688" s="22" t="s">
        <v>787</v>
      </c>
      <c r="C688" s="23" t="s">
        <v>104</v>
      </c>
      <c r="D688" s="23" t="s">
        <v>283</v>
      </c>
      <c r="E688" s="23" t="s">
        <v>588</v>
      </c>
      <c r="F688" s="23"/>
      <c r="G688" s="58">
        <f>G689+G691</f>
        <v>7598.200000000001</v>
      </c>
      <c r="H688" s="58">
        <f>H689+H691</f>
        <v>7598.200000000001</v>
      </c>
      <c r="I688" s="58">
        <f>I689+I691</f>
        <v>7598.200000000001</v>
      </c>
      <c r="J688" s="77">
        <f t="shared" si="137"/>
        <v>100</v>
      </c>
      <c r="K688" s="49"/>
      <c r="L688" s="50"/>
      <c r="M688" s="72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>
        <v>3844.3</v>
      </c>
      <c r="AA688" s="75"/>
      <c r="AB688" s="75">
        <v>7598.2</v>
      </c>
      <c r="AC688" s="75"/>
      <c r="AD688" s="75"/>
      <c r="AE688" s="75"/>
      <c r="AF688" s="75"/>
      <c r="AG688" s="75"/>
    </row>
    <row r="689" spans="1:33" s="16" customFormat="1" ht="60" customHeight="1">
      <c r="A689" s="23" t="s">
        <v>533</v>
      </c>
      <c r="B689" s="25" t="s">
        <v>181</v>
      </c>
      <c r="C689" s="23" t="s">
        <v>104</v>
      </c>
      <c r="D689" s="23" t="s">
        <v>283</v>
      </c>
      <c r="E689" s="23" t="s">
        <v>588</v>
      </c>
      <c r="F689" s="23" t="s">
        <v>179</v>
      </c>
      <c r="G689" s="58">
        <f>G690</f>
        <v>3504.4</v>
      </c>
      <c r="H689" s="58">
        <f>H690</f>
        <v>3504.4</v>
      </c>
      <c r="I689" s="58">
        <f>I690</f>
        <v>3504.4</v>
      </c>
      <c r="J689" s="77">
        <f t="shared" si="137"/>
        <v>100</v>
      </c>
      <c r="K689" s="49"/>
      <c r="L689" s="50"/>
      <c r="M689" s="72">
        <f>333.5+1038.3</f>
        <v>1371.8</v>
      </c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  <c r="AA689" s="75"/>
      <c r="AB689" s="75"/>
      <c r="AC689" s="75"/>
      <c r="AD689" s="75"/>
      <c r="AE689" s="75"/>
      <c r="AF689" s="75"/>
      <c r="AG689" s="75"/>
    </row>
    <row r="690" spans="1:33" s="16" customFormat="1" ht="30" customHeight="1">
      <c r="A690" s="23" t="s">
        <v>534</v>
      </c>
      <c r="B690" s="25" t="s">
        <v>182</v>
      </c>
      <c r="C690" s="23" t="s">
        <v>104</v>
      </c>
      <c r="D690" s="23" t="s">
        <v>283</v>
      </c>
      <c r="E690" s="23" t="s">
        <v>588</v>
      </c>
      <c r="F690" s="23" t="s">
        <v>211</v>
      </c>
      <c r="G690" s="58">
        <v>3504.4</v>
      </c>
      <c r="H690" s="58">
        <v>3504.4</v>
      </c>
      <c r="I690" s="58">
        <v>3504.4</v>
      </c>
      <c r="J690" s="77">
        <f t="shared" si="137"/>
        <v>100</v>
      </c>
      <c r="K690" s="49"/>
      <c r="L690" s="50"/>
      <c r="M690" s="72"/>
      <c r="N690" s="75"/>
      <c r="O690" s="75"/>
      <c r="P690" s="75"/>
      <c r="Q690" s="75"/>
      <c r="R690" s="75"/>
      <c r="S690" s="75"/>
      <c r="T690" s="75">
        <v>600</v>
      </c>
      <c r="U690" s="75"/>
      <c r="V690" s="75"/>
      <c r="W690" s="75"/>
      <c r="X690" s="75"/>
      <c r="Y690" s="75"/>
      <c r="Z690" s="75"/>
      <c r="AA690" s="75"/>
      <c r="AB690" s="75"/>
      <c r="AC690" s="75"/>
      <c r="AD690" s="75"/>
      <c r="AE690" s="75"/>
      <c r="AF690" s="75"/>
      <c r="AG690" s="75"/>
    </row>
    <row r="691" spans="1:33" s="16" customFormat="1" ht="33.75" customHeight="1">
      <c r="A691" s="23" t="s">
        <v>535</v>
      </c>
      <c r="B691" s="22" t="s">
        <v>270</v>
      </c>
      <c r="C691" s="23" t="s">
        <v>104</v>
      </c>
      <c r="D691" s="23" t="s">
        <v>283</v>
      </c>
      <c r="E691" s="23" t="s">
        <v>588</v>
      </c>
      <c r="F691" s="23" t="s">
        <v>163</v>
      </c>
      <c r="G691" s="58">
        <f>G692</f>
        <v>4093.8</v>
      </c>
      <c r="H691" s="58">
        <f>H692</f>
        <v>4093.8</v>
      </c>
      <c r="I691" s="58">
        <f>I692</f>
        <v>4093.8</v>
      </c>
      <c r="J691" s="77">
        <f t="shared" si="137"/>
        <v>100</v>
      </c>
      <c r="K691" s="49"/>
      <c r="L691" s="50"/>
      <c r="M691" s="72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  <c r="AA691" s="75"/>
      <c r="AB691" s="75"/>
      <c r="AC691" s="75"/>
      <c r="AD691" s="75"/>
      <c r="AE691" s="75"/>
      <c r="AF691" s="75"/>
      <c r="AG691" s="75"/>
    </row>
    <row r="692" spans="1:33" s="16" customFormat="1" ht="26.25" customHeight="1">
      <c r="A692" s="23" t="s">
        <v>937</v>
      </c>
      <c r="B692" s="22" t="s">
        <v>165</v>
      </c>
      <c r="C692" s="23" t="s">
        <v>104</v>
      </c>
      <c r="D692" s="23" t="s">
        <v>283</v>
      </c>
      <c r="E692" s="23" t="s">
        <v>588</v>
      </c>
      <c r="F692" s="23" t="s">
        <v>164</v>
      </c>
      <c r="G692" s="58">
        <v>4093.8</v>
      </c>
      <c r="H692" s="58">
        <v>4093.8</v>
      </c>
      <c r="I692" s="58">
        <v>4093.8</v>
      </c>
      <c r="J692" s="77">
        <f t="shared" si="137"/>
        <v>100</v>
      </c>
      <c r="K692" s="49"/>
      <c r="L692" s="50"/>
      <c r="M692" s="72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>
        <v>1200</v>
      </c>
      <c r="Z692" s="75"/>
      <c r="AA692" s="75"/>
      <c r="AB692" s="75"/>
      <c r="AC692" s="75"/>
      <c r="AD692" s="75"/>
      <c r="AE692" s="75"/>
      <c r="AF692" s="75"/>
      <c r="AG692" s="75"/>
    </row>
    <row r="693" spans="1:33" s="16" customFormat="1" ht="72" customHeight="1">
      <c r="A693" s="23" t="s">
        <v>938</v>
      </c>
      <c r="B693" s="40" t="s">
        <v>1433</v>
      </c>
      <c r="C693" s="23" t="s">
        <v>104</v>
      </c>
      <c r="D693" s="23" t="s">
        <v>283</v>
      </c>
      <c r="E693" s="23" t="s">
        <v>1434</v>
      </c>
      <c r="F693" s="23"/>
      <c r="G693" s="58">
        <f>G694+G696</f>
        <v>0</v>
      </c>
      <c r="H693" s="58">
        <f>H694+H696</f>
        <v>888</v>
      </c>
      <c r="I693" s="58">
        <f>I694+I696</f>
        <v>888</v>
      </c>
      <c r="J693" s="77">
        <f t="shared" si="137"/>
        <v>100</v>
      </c>
      <c r="K693" s="49"/>
      <c r="L693" s="50"/>
      <c r="M693" s="72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  <c r="AA693" s="75"/>
      <c r="AB693" s="75"/>
      <c r="AC693" s="75"/>
      <c r="AD693" s="75"/>
      <c r="AE693" s="75"/>
      <c r="AF693" s="75"/>
      <c r="AG693" s="75"/>
    </row>
    <row r="694" spans="1:33" s="16" customFormat="1" ht="57.75" customHeight="1">
      <c r="A694" s="23" t="s">
        <v>939</v>
      </c>
      <c r="B694" s="25" t="s">
        <v>181</v>
      </c>
      <c r="C694" s="23" t="s">
        <v>104</v>
      </c>
      <c r="D694" s="23" t="s">
        <v>283</v>
      </c>
      <c r="E694" s="23" t="s">
        <v>1434</v>
      </c>
      <c r="F694" s="23" t="s">
        <v>179</v>
      </c>
      <c r="G694" s="58">
        <f>G695</f>
        <v>0</v>
      </c>
      <c r="H694" s="58">
        <f>H695</f>
        <v>674</v>
      </c>
      <c r="I694" s="58">
        <f>I695</f>
        <v>674</v>
      </c>
      <c r="J694" s="77">
        <f t="shared" si="137"/>
        <v>100</v>
      </c>
      <c r="K694" s="49"/>
      <c r="L694" s="50"/>
      <c r="M694" s="72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  <c r="AA694" s="75"/>
      <c r="AB694" s="75"/>
      <c r="AC694" s="75"/>
      <c r="AD694" s="75"/>
      <c r="AE694" s="75"/>
      <c r="AF694" s="75"/>
      <c r="AG694" s="75"/>
    </row>
    <row r="695" spans="1:33" s="16" customFormat="1" ht="26.25" customHeight="1">
      <c r="A695" s="23" t="s">
        <v>940</v>
      </c>
      <c r="B695" s="25" t="s">
        <v>182</v>
      </c>
      <c r="C695" s="23" t="s">
        <v>104</v>
      </c>
      <c r="D695" s="23" t="s">
        <v>283</v>
      </c>
      <c r="E695" s="23" t="s">
        <v>1434</v>
      </c>
      <c r="F695" s="23" t="s">
        <v>211</v>
      </c>
      <c r="G695" s="58">
        <v>0</v>
      </c>
      <c r="H695" s="58">
        <v>674</v>
      </c>
      <c r="I695" s="58">
        <v>674</v>
      </c>
      <c r="J695" s="77">
        <f t="shared" si="137"/>
        <v>100</v>
      </c>
      <c r="K695" s="49"/>
      <c r="L695" s="50"/>
      <c r="M695" s="72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  <c r="AA695" s="75"/>
      <c r="AB695" s="75"/>
      <c r="AC695" s="75"/>
      <c r="AD695" s="75"/>
      <c r="AE695" s="75"/>
      <c r="AF695" s="75"/>
      <c r="AG695" s="75"/>
    </row>
    <row r="696" spans="1:33" s="16" customFormat="1" ht="35.25" customHeight="1">
      <c r="A696" s="23" t="s">
        <v>941</v>
      </c>
      <c r="B696" s="22" t="s">
        <v>270</v>
      </c>
      <c r="C696" s="23" t="s">
        <v>104</v>
      </c>
      <c r="D696" s="23" t="s">
        <v>283</v>
      </c>
      <c r="E696" s="23" t="s">
        <v>1434</v>
      </c>
      <c r="F696" s="23" t="s">
        <v>163</v>
      </c>
      <c r="G696" s="58">
        <f>G697</f>
        <v>0</v>
      </c>
      <c r="H696" s="58">
        <f>H697</f>
        <v>214</v>
      </c>
      <c r="I696" s="58">
        <f>I697</f>
        <v>214</v>
      </c>
      <c r="J696" s="77">
        <f t="shared" si="137"/>
        <v>100</v>
      </c>
      <c r="K696" s="49"/>
      <c r="L696" s="50"/>
      <c r="M696" s="72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  <c r="AA696" s="75"/>
      <c r="AB696" s="75"/>
      <c r="AC696" s="75"/>
      <c r="AD696" s="75"/>
      <c r="AE696" s="75"/>
      <c r="AF696" s="75"/>
      <c r="AG696" s="75"/>
    </row>
    <row r="697" spans="1:33" s="16" customFormat="1" ht="26.25" customHeight="1">
      <c r="A697" s="23" t="s">
        <v>942</v>
      </c>
      <c r="B697" s="22" t="s">
        <v>165</v>
      </c>
      <c r="C697" s="23" t="s">
        <v>104</v>
      </c>
      <c r="D697" s="23" t="s">
        <v>283</v>
      </c>
      <c r="E697" s="23" t="s">
        <v>1434</v>
      </c>
      <c r="F697" s="23" t="s">
        <v>164</v>
      </c>
      <c r="G697" s="58">
        <v>0</v>
      </c>
      <c r="H697" s="58">
        <v>214</v>
      </c>
      <c r="I697" s="58">
        <v>214</v>
      </c>
      <c r="J697" s="77">
        <f t="shared" si="137"/>
        <v>100</v>
      </c>
      <c r="K697" s="49"/>
      <c r="L697" s="50"/>
      <c r="M697" s="72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  <c r="AA697" s="75"/>
      <c r="AB697" s="75"/>
      <c r="AC697" s="75"/>
      <c r="AD697" s="75"/>
      <c r="AE697" s="75"/>
      <c r="AF697" s="75"/>
      <c r="AG697" s="75"/>
    </row>
    <row r="698" spans="1:33" s="16" customFormat="1" ht="75" customHeight="1">
      <c r="A698" s="23" t="s">
        <v>536</v>
      </c>
      <c r="B698" s="22" t="s">
        <v>1211</v>
      </c>
      <c r="C698" s="23" t="s">
        <v>104</v>
      </c>
      <c r="D698" s="23" t="s">
        <v>283</v>
      </c>
      <c r="E698" s="23" t="s">
        <v>1212</v>
      </c>
      <c r="F698" s="23"/>
      <c r="G698" s="58">
        <f>G699+G701</f>
        <v>0</v>
      </c>
      <c r="H698" s="58">
        <f>H699+H701</f>
        <v>11766</v>
      </c>
      <c r="I698" s="58">
        <f>I699+I701</f>
        <v>11764.9</v>
      </c>
      <c r="J698" s="77">
        <f t="shared" si="137"/>
        <v>99.99065102838688</v>
      </c>
      <c r="K698" s="49"/>
      <c r="L698" s="50"/>
      <c r="M698" s="72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  <c r="AA698" s="75"/>
      <c r="AB698" s="75"/>
      <c r="AC698" s="75"/>
      <c r="AD698" s="75"/>
      <c r="AE698" s="75"/>
      <c r="AF698" s="75"/>
      <c r="AG698" s="75"/>
    </row>
    <row r="699" spans="1:33" s="16" customFormat="1" ht="61.5" customHeight="1">
      <c r="A699" s="23" t="s">
        <v>631</v>
      </c>
      <c r="B699" s="25" t="s">
        <v>181</v>
      </c>
      <c r="C699" s="23" t="s">
        <v>104</v>
      </c>
      <c r="D699" s="23" t="s">
        <v>283</v>
      </c>
      <c r="E699" s="23" t="s">
        <v>1212</v>
      </c>
      <c r="F699" s="23" t="s">
        <v>179</v>
      </c>
      <c r="G699" s="58">
        <f>G700</f>
        <v>0</v>
      </c>
      <c r="H699" s="58">
        <f>H700</f>
        <v>6913.6</v>
      </c>
      <c r="I699" s="58">
        <f>I700</f>
        <v>6912.5</v>
      </c>
      <c r="J699" s="77">
        <f t="shared" si="137"/>
        <v>99.98408933117334</v>
      </c>
      <c r="K699" s="49"/>
      <c r="L699" s="50"/>
      <c r="M699" s="72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  <c r="AA699" s="75"/>
      <c r="AB699" s="75"/>
      <c r="AC699" s="75"/>
      <c r="AD699" s="75">
        <v>7030.8</v>
      </c>
      <c r="AE699" s="75"/>
      <c r="AF699" s="75"/>
      <c r="AG699" s="75"/>
    </row>
    <row r="700" spans="1:33" s="16" customFormat="1" ht="26.25" customHeight="1">
      <c r="A700" s="23" t="s">
        <v>632</v>
      </c>
      <c r="B700" s="25" t="s">
        <v>182</v>
      </c>
      <c r="C700" s="23" t="s">
        <v>104</v>
      </c>
      <c r="D700" s="23" t="s">
        <v>283</v>
      </c>
      <c r="E700" s="23" t="s">
        <v>1212</v>
      </c>
      <c r="F700" s="23" t="s">
        <v>211</v>
      </c>
      <c r="G700" s="58">
        <v>0</v>
      </c>
      <c r="H700" s="58">
        <v>6913.6</v>
      </c>
      <c r="I700" s="58">
        <v>6912.5</v>
      </c>
      <c r="J700" s="77">
        <f t="shared" si="137"/>
        <v>99.98408933117334</v>
      </c>
      <c r="K700" s="49"/>
      <c r="L700" s="50"/>
      <c r="M700" s="72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  <c r="AA700" s="75"/>
      <c r="AB700" s="75"/>
      <c r="AC700" s="75"/>
      <c r="AD700" s="75"/>
      <c r="AE700" s="75"/>
      <c r="AF700" s="75"/>
      <c r="AG700" s="75"/>
    </row>
    <row r="701" spans="1:33" s="16" customFormat="1" ht="39" customHeight="1">
      <c r="A701" s="23" t="s">
        <v>728</v>
      </c>
      <c r="B701" s="22" t="s">
        <v>270</v>
      </c>
      <c r="C701" s="23" t="s">
        <v>104</v>
      </c>
      <c r="D701" s="23" t="s">
        <v>283</v>
      </c>
      <c r="E701" s="23" t="s">
        <v>1212</v>
      </c>
      <c r="F701" s="23" t="s">
        <v>163</v>
      </c>
      <c r="G701" s="58">
        <f>G702</f>
        <v>0</v>
      </c>
      <c r="H701" s="58">
        <f>H702</f>
        <v>4852.4</v>
      </c>
      <c r="I701" s="58">
        <f>I702</f>
        <v>4852.4</v>
      </c>
      <c r="J701" s="77">
        <f t="shared" si="137"/>
        <v>100</v>
      </c>
      <c r="K701" s="49"/>
      <c r="L701" s="50"/>
      <c r="M701" s="72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  <c r="AA701" s="75"/>
      <c r="AB701" s="75"/>
      <c r="AC701" s="75"/>
      <c r="AD701" s="75"/>
      <c r="AE701" s="75"/>
      <c r="AF701" s="75"/>
      <c r="AG701" s="75"/>
    </row>
    <row r="702" spans="1:33" s="16" customFormat="1" ht="26.25" customHeight="1">
      <c r="A702" s="23" t="s">
        <v>729</v>
      </c>
      <c r="B702" s="22" t="s">
        <v>165</v>
      </c>
      <c r="C702" s="23" t="s">
        <v>104</v>
      </c>
      <c r="D702" s="23" t="s">
        <v>283</v>
      </c>
      <c r="E702" s="23" t="s">
        <v>1212</v>
      </c>
      <c r="F702" s="23" t="s">
        <v>164</v>
      </c>
      <c r="G702" s="58">
        <v>0</v>
      </c>
      <c r="H702" s="58">
        <v>4852.4</v>
      </c>
      <c r="I702" s="58">
        <v>4852.4</v>
      </c>
      <c r="J702" s="77">
        <f t="shared" si="137"/>
        <v>100</v>
      </c>
      <c r="K702" s="49"/>
      <c r="L702" s="50"/>
      <c r="M702" s="72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  <c r="AA702" s="75"/>
      <c r="AB702" s="75"/>
      <c r="AC702" s="75"/>
      <c r="AD702" s="75">
        <v>4687.2</v>
      </c>
      <c r="AE702" s="75"/>
      <c r="AF702" s="75"/>
      <c r="AG702" s="75"/>
    </row>
    <row r="703" spans="1:33" s="16" customFormat="1" ht="146.25" customHeight="1">
      <c r="A703" s="23" t="s">
        <v>730</v>
      </c>
      <c r="B703" s="22" t="s">
        <v>483</v>
      </c>
      <c r="C703" s="23" t="s">
        <v>104</v>
      </c>
      <c r="D703" s="23" t="s">
        <v>283</v>
      </c>
      <c r="E703" s="23" t="s">
        <v>375</v>
      </c>
      <c r="F703" s="23"/>
      <c r="G703" s="58">
        <f>SUM(G704+G706+G708)</f>
        <v>24966.199999999997</v>
      </c>
      <c r="H703" s="58">
        <f>SUM(H704+H706+H708)</f>
        <v>23639.1</v>
      </c>
      <c r="I703" s="58">
        <f>SUM(I704+I706+I708)</f>
        <v>23639.1</v>
      </c>
      <c r="J703" s="77">
        <f aca="true" t="shared" si="140" ref="J703:J766">I703/H703*100</f>
        <v>100</v>
      </c>
      <c r="K703" s="49"/>
      <c r="L703" s="50"/>
      <c r="M703" s="72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>
        <v>15852.6</v>
      </c>
      <c r="AB703" s="75"/>
      <c r="AC703" s="75">
        <v>24966.2</v>
      </c>
      <c r="AD703" s="75"/>
      <c r="AE703" s="75"/>
      <c r="AF703" s="75"/>
      <c r="AG703" s="75"/>
    </row>
    <row r="704" spans="1:33" s="16" customFormat="1" ht="54" customHeight="1">
      <c r="A704" s="23" t="s">
        <v>537</v>
      </c>
      <c r="B704" s="25" t="s">
        <v>181</v>
      </c>
      <c r="C704" s="23" t="s">
        <v>104</v>
      </c>
      <c r="D704" s="23" t="s">
        <v>283</v>
      </c>
      <c r="E704" s="23" t="s">
        <v>375</v>
      </c>
      <c r="F704" s="23" t="s">
        <v>179</v>
      </c>
      <c r="G704" s="58">
        <f>SUM(G705)</f>
        <v>15023.3</v>
      </c>
      <c r="H704" s="58">
        <f>SUM(H705)</f>
        <v>13788.5</v>
      </c>
      <c r="I704" s="58">
        <f>SUM(I705)</f>
        <v>13788.5</v>
      </c>
      <c r="J704" s="77">
        <f t="shared" si="140"/>
        <v>100</v>
      </c>
      <c r="K704" s="49"/>
      <c r="L704" s="50"/>
      <c r="M704" s="72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</row>
    <row r="705" spans="1:33" s="16" customFormat="1" ht="21" customHeight="1">
      <c r="A705" s="23" t="s">
        <v>538</v>
      </c>
      <c r="B705" s="25" t="s">
        <v>182</v>
      </c>
      <c r="C705" s="23" t="s">
        <v>104</v>
      </c>
      <c r="D705" s="23" t="s">
        <v>283</v>
      </c>
      <c r="E705" s="23" t="s">
        <v>375</v>
      </c>
      <c r="F705" s="23" t="s">
        <v>211</v>
      </c>
      <c r="G705" s="58">
        <v>15023.3</v>
      </c>
      <c r="H705" s="58">
        <v>13788.5</v>
      </c>
      <c r="I705" s="58">
        <v>13788.5</v>
      </c>
      <c r="J705" s="77">
        <f t="shared" si="140"/>
        <v>100</v>
      </c>
      <c r="K705" s="49"/>
      <c r="L705" s="50"/>
      <c r="M705" s="72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  <c r="AA705" s="75"/>
      <c r="AB705" s="75"/>
      <c r="AC705" s="75"/>
      <c r="AD705" s="75">
        <v>-74.2</v>
      </c>
      <c r="AE705" s="75"/>
      <c r="AF705" s="75"/>
      <c r="AG705" s="75">
        <v>5.1</v>
      </c>
    </row>
    <row r="706" spans="1:33" s="16" customFormat="1" ht="32.25" customHeight="1">
      <c r="A706" s="23" t="s">
        <v>539</v>
      </c>
      <c r="B706" s="22" t="s">
        <v>144</v>
      </c>
      <c r="C706" s="23" t="s">
        <v>104</v>
      </c>
      <c r="D706" s="23" t="s">
        <v>283</v>
      </c>
      <c r="E706" s="23" t="s">
        <v>375</v>
      </c>
      <c r="F706" s="23" t="s">
        <v>109</v>
      </c>
      <c r="G706" s="58">
        <f>SUM(G707)</f>
        <v>256</v>
      </c>
      <c r="H706" s="58">
        <f>SUM(H707)</f>
        <v>236</v>
      </c>
      <c r="I706" s="58">
        <f>SUM(I707)</f>
        <v>236</v>
      </c>
      <c r="J706" s="77">
        <f t="shared" si="140"/>
        <v>100</v>
      </c>
      <c r="K706" s="49"/>
      <c r="L706" s="50"/>
      <c r="M706" s="72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  <c r="AA706" s="75"/>
      <c r="AB706" s="75"/>
      <c r="AC706" s="75"/>
      <c r="AD706" s="75"/>
      <c r="AE706" s="75"/>
      <c r="AF706" s="75"/>
      <c r="AG706" s="75"/>
    </row>
    <row r="707" spans="1:33" s="16" customFormat="1" ht="37.5" customHeight="1">
      <c r="A707" s="23" t="s">
        <v>1174</v>
      </c>
      <c r="B707" s="22" t="s">
        <v>145</v>
      </c>
      <c r="C707" s="23" t="s">
        <v>104</v>
      </c>
      <c r="D707" s="23" t="s">
        <v>283</v>
      </c>
      <c r="E707" s="23" t="s">
        <v>375</v>
      </c>
      <c r="F707" s="23" t="s">
        <v>102</v>
      </c>
      <c r="G707" s="58">
        <v>256</v>
      </c>
      <c r="H707" s="58">
        <f>256+4-24</f>
        <v>236</v>
      </c>
      <c r="I707" s="58">
        <v>236</v>
      </c>
      <c r="J707" s="77">
        <f t="shared" si="140"/>
        <v>100</v>
      </c>
      <c r="K707" s="49"/>
      <c r="L707" s="50"/>
      <c r="M707" s="72"/>
      <c r="N707" s="75"/>
      <c r="O707" s="75"/>
      <c r="P707" s="75"/>
      <c r="Q707" s="75"/>
      <c r="R707" s="75"/>
      <c r="S707" s="75"/>
      <c r="T707" s="75">
        <v>892.5</v>
      </c>
      <c r="U707" s="75"/>
      <c r="V707" s="75"/>
      <c r="W707" s="75"/>
      <c r="X707" s="75"/>
      <c r="Y707" s="75"/>
      <c r="Z707" s="75"/>
      <c r="AA707" s="75"/>
      <c r="AB707" s="75"/>
      <c r="AC707" s="75"/>
      <c r="AD707" s="75">
        <v>4</v>
      </c>
      <c r="AE707" s="75"/>
      <c r="AF707" s="75"/>
      <c r="AG707" s="75"/>
    </row>
    <row r="708" spans="1:33" s="16" customFormat="1" ht="28.5" customHeight="1">
      <c r="A708" s="23" t="s">
        <v>174</v>
      </c>
      <c r="B708" s="22" t="s">
        <v>270</v>
      </c>
      <c r="C708" s="23" t="s">
        <v>104</v>
      </c>
      <c r="D708" s="23" t="s">
        <v>283</v>
      </c>
      <c r="E708" s="23" t="s">
        <v>375</v>
      </c>
      <c r="F708" s="23" t="s">
        <v>163</v>
      </c>
      <c r="G708" s="58">
        <f>SUM(G709)</f>
        <v>9686.9</v>
      </c>
      <c r="H708" s="58">
        <f>SUM(H709)</f>
        <v>9614.599999999999</v>
      </c>
      <c r="I708" s="58">
        <f>SUM(I709)</f>
        <v>9614.6</v>
      </c>
      <c r="J708" s="77">
        <f t="shared" si="140"/>
        <v>100.00000000000003</v>
      </c>
      <c r="K708" s="49"/>
      <c r="L708" s="50"/>
      <c r="M708" s="72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  <c r="AA708" s="75"/>
      <c r="AB708" s="75"/>
      <c r="AC708" s="75"/>
      <c r="AD708" s="75"/>
      <c r="AE708" s="75"/>
      <c r="AF708" s="75"/>
      <c r="AG708" s="75"/>
    </row>
    <row r="709" spans="1:33" s="16" customFormat="1" ht="19.5" customHeight="1">
      <c r="A709" s="23" t="s">
        <v>1175</v>
      </c>
      <c r="B709" s="22" t="s">
        <v>165</v>
      </c>
      <c r="C709" s="23" t="s">
        <v>104</v>
      </c>
      <c r="D709" s="23" t="s">
        <v>283</v>
      </c>
      <c r="E709" s="23" t="s">
        <v>375</v>
      </c>
      <c r="F709" s="23" t="s">
        <v>164</v>
      </c>
      <c r="G709" s="58">
        <v>9686.9</v>
      </c>
      <c r="H709" s="58">
        <f>9686.9+202.8-275.1</f>
        <v>9614.599999999999</v>
      </c>
      <c r="I709" s="58">
        <v>9614.6</v>
      </c>
      <c r="J709" s="77">
        <f t="shared" si="140"/>
        <v>100.00000000000003</v>
      </c>
      <c r="K709" s="49"/>
      <c r="L709" s="50"/>
      <c r="M709" s="72">
        <v>482.6</v>
      </c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>
        <f>-892.5+54.4+194.7</f>
        <v>-643.4000000000001</v>
      </c>
      <c r="Z709" s="75"/>
      <c r="AA709" s="75"/>
      <c r="AB709" s="75"/>
      <c r="AC709" s="75"/>
      <c r="AD709" s="75">
        <v>202.8</v>
      </c>
      <c r="AE709" s="75"/>
      <c r="AF709" s="75"/>
      <c r="AG709" s="75"/>
    </row>
    <row r="710" spans="1:33" s="16" customFormat="1" ht="86.25" customHeight="1">
      <c r="A710" s="23" t="s">
        <v>540</v>
      </c>
      <c r="B710" s="39" t="s">
        <v>1355</v>
      </c>
      <c r="C710" s="23" t="s">
        <v>104</v>
      </c>
      <c r="D710" s="23" t="s">
        <v>283</v>
      </c>
      <c r="E710" s="23" t="s">
        <v>1354</v>
      </c>
      <c r="F710" s="23"/>
      <c r="G710" s="58">
        <f aca="true" t="shared" si="141" ref="G710:I711">SUM(G711)</f>
        <v>0</v>
      </c>
      <c r="H710" s="58">
        <f t="shared" si="141"/>
        <v>1570.8</v>
      </c>
      <c r="I710" s="58">
        <f t="shared" si="141"/>
        <v>1570.8</v>
      </c>
      <c r="J710" s="77">
        <f t="shared" si="140"/>
        <v>100</v>
      </c>
      <c r="K710" s="49"/>
      <c r="L710" s="50"/>
      <c r="M710" s="72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  <c r="AA710" s="75"/>
      <c r="AB710" s="75"/>
      <c r="AC710" s="75"/>
      <c r="AD710" s="75"/>
      <c r="AE710" s="75"/>
      <c r="AF710" s="75"/>
      <c r="AG710" s="75"/>
    </row>
    <row r="711" spans="1:33" s="16" customFormat="1" ht="30" customHeight="1">
      <c r="A711" s="23" t="s">
        <v>541</v>
      </c>
      <c r="B711" s="22" t="s">
        <v>270</v>
      </c>
      <c r="C711" s="23" t="s">
        <v>104</v>
      </c>
      <c r="D711" s="23" t="s">
        <v>283</v>
      </c>
      <c r="E711" s="23" t="s">
        <v>1354</v>
      </c>
      <c r="F711" s="23" t="s">
        <v>163</v>
      </c>
      <c r="G711" s="58">
        <f t="shared" si="141"/>
        <v>0</v>
      </c>
      <c r="H711" s="58">
        <f t="shared" si="141"/>
        <v>1570.8</v>
      </c>
      <c r="I711" s="58">
        <f t="shared" si="141"/>
        <v>1570.8</v>
      </c>
      <c r="J711" s="77">
        <f t="shared" si="140"/>
        <v>100</v>
      </c>
      <c r="K711" s="49"/>
      <c r="L711" s="50"/>
      <c r="M711" s="72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  <c r="AA711" s="75"/>
      <c r="AB711" s="75"/>
      <c r="AC711" s="75"/>
      <c r="AD711" s="75"/>
      <c r="AE711" s="75"/>
      <c r="AF711" s="75"/>
      <c r="AG711" s="75"/>
    </row>
    <row r="712" spans="1:33" s="16" customFormat="1" ht="19.5" customHeight="1">
      <c r="A712" s="23" t="s">
        <v>542</v>
      </c>
      <c r="B712" s="22" t="s">
        <v>165</v>
      </c>
      <c r="C712" s="23" t="s">
        <v>104</v>
      </c>
      <c r="D712" s="23" t="s">
        <v>283</v>
      </c>
      <c r="E712" s="23" t="s">
        <v>1354</v>
      </c>
      <c r="F712" s="23" t="s">
        <v>164</v>
      </c>
      <c r="G712" s="58">
        <v>0</v>
      </c>
      <c r="H712" s="58">
        <v>1570.8</v>
      </c>
      <c r="I712" s="58">
        <v>1570.8</v>
      </c>
      <c r="J712" s="77">
        <f t="shared" si="140"/>
        <v>100</v>
      </c>
      <c r="K712" s="49"/>
      <c r="L712" s="50"/>
      <c r="M712" s="72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  <c r="AA712" s="75"/>
      <c r="AB712" s="75"/>
      <c r="AC712" s="75"/>
      <c r="AD712" s="75"/>
      <c r="AE712" s="75"/>
      <c r="AF712" s="75"/>
      <c r="AG712" s="75"/>
    </row>
    <row r="713" spans="1:33" s="16" customFormat="1" ht="84.75" customHeight="1">
      <c r="A713" s="23" t="s">
        <v>569</v>
      </c>
      <c r="B713" s="39" t="s">
        <v>1356</v>
      </c>
      <c r="C713" s="23" t="s">
        <v>104</v>
      </c>
      <c r="D713" s="23" t="s">
        <v>283</v>
      </c>
      <c r="E713" s="23" t="s">
        <v>1354</v>
      </c>
      <c r="F713" s="23"/>
      <c r="G713" s="58">
        <f aca="true" t="shared" si="142" ref="G713:I714">SUM(G714)</f>
        <v>0</v>
      </c>
      <c r="H713" s="58">
        <f t="shared" si="142"/>
        <v>82.7</v>
      </c>
      <c r="I713" s="58">
        <f t="shared" si="142"/>
        <v>82.7</v>
      </c>
      <c r="J713" s="77">
        <f t="shared" si="140"/>
        <v>100</v>
      </c>
      <c r="K713" s="49"/>
      <c r="L713" s="50"/>
      <c r="M713" s="72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  <c r="AA713" s="75"/>
      <c r="AB713" s="75"/>
      <c r="AC713" s="75"/>
      <c r="AD713" s="75"/>
      <c r="AE713" s="75"/>
      <c r="AF713" s="75"/>
      <c r="AG713" s="75"/>
    </row>
    <row r="714" spans="1:33" s="16" customFormat="1" ht="43.5" customHeight="1">
      <c r="A714" s="23" t="s">
        <v>854</v>
      </c>
      <c r="B714" s="22" t="s">
        <v>270</v>
      </c>
      <c r="C714" s="23" t="s">
        <v>104</v>
      </c>
      <c r="D714" s="23" t="s">
        <v>283</v>
      </c>
      <c r="E714" s="23" t="s">
        <v>1354</v>
      </c>
      <c r="F714" s="23" t="s">
        <v>163</v>
      </c>
      <c r="G714" s="58">
        <f t="shared" si="142"/>
        <v>0</v>
      </c>
      <c r="H714" s="58">
        <f t="shared" si="142"/>
        <v>82.7</v>
      </c>
      <c r="I714" s="58">
        <f t="shared" si="142"/>
        <v>82.7</v>
      </c>
      <c r="J714" s="77">
        <f t="shared" si="140"/>
        <v>100</v>
      </c>
      <c r="K714" s="49"/>
      <c r="L714" s="50"/>
      <c r="M714" s="72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  <c r="AA714" s="75"/>
      <c r="AB714" s="75"/>
      <c r="AC714" s="75"/>
      <c r="AD714" s="75"/>
      <c r="AE714" s="75"/>
      <c r="AF714" s="75"/>
      <c r="AG714" s="75"/>
    </row>
    <row r="715" spans="1:33" s="16" customFormat="1" ht="19.5" customHeight="1">
      <c r="A715" s="23" t="s">
        <v>855</v>
      </c>
      <c r="B715" s="22" t="s">
        <v>165</v>
      </c>
      <c r="C715" s="23" t="s">
        <v>104</v>
      </c>
      <c r="D715" s="23" t="s">
        <v>283</v>
      </c>
      <c r="E715" s="23" t="s">
        <v>1354</v>
      </c>
      <c r="F715" s="23" t="s">
        <v>164</v>
      </c>
      <c r="G715" s="58">
        <v>0</v>
      </c>
      <c r="H715" s="58">
        <v>82.7</v>
      </c>
      <c r="I715" s="58">
        <v>82.7</v>
      </c>
      <c r="J715" s="77">
        <f t="shared" si="140"/>
        <v>100</v>
      </c>
      <c r="K715" s="49"/>
      <c r="L715" s="50"/>
      <c r="M715" s="72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  <c r="AA715" s="75"/>
      <c r="AB715" s="75"/>
      <c r="AC715" s="75"/>
      <c r="AD715" s="75"/>
      <c r="AE715" s="75"/>
      <c r="AF715" s="75"/>
      <c r="AG715" s="75"/>
    </row>
    <row r="716" spans="1:33" s="16" customFormat="1" ht="80.25" customHeight="1">
      <c r="A716" s="23" t="s">
        <v>856</v>
      </c>
      <c r="B716" s="39" t="s">
        <v>1474</v>
      </c>
      <c r="C716" s="23" t="s">
        <v>104</v>
      </c>
      <c r="D716" s="23" t="s">
        <v>283</v>
      </c>
      <c r="E716" s="23" t="s">
        <v>1357</v>
      </c>
      <c r="F716" s="23"/>
      <c r="G716" s="58">
        <f aca="true" t="shared" si="143" ref="G716:I717">SUM(G717)</f>
        <v>0</v>
      </c>
      <c r="H716" s="58">
        <f t="shared" si="143"/>
        <v>66</v>
      </c>
      <c r="I716" s="58">
        <f t="shared" si="143"/>
        <v>66</v>
      </c>
      <c r="J716" s="77">
        <f t="shared" si="140"/>
        <v>100</v>
      </c>
      <c r="K716" s="49"/>
      <c r="L716" s="50"/>
      <c r="M716" s="72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  <c r="AA716" s="75"/>
      <c r="AB716" s="75"/>
      <c r="AC716" s="75"/>
      <c r="AD716" s="75"/>
      <c r="AE716" s="75"/>
      <c r="AF716" s="75"/>
      <c r="AG716" s="75"/>
    </row>
    <row r="717" spans="1:33" s="16" customFormat="1" ht="36.75" customHeight="1">
      <c r="A717" s="23" t="s">
        <v>570</v>
      </c>
      <c r="B717" s="22" t="s">
        <v>144</v>
      </c>
      <c r="C717" s="23" t="s">
        <v>104</v>
      </c>
      <c r="D717" s="23" t="s">
        <v>283</v>
      </c>
      <c r="E717" s="23" t="s">
        <v>1357</v>
      </c>
      <c r="F717" s="23" t="s">
        <v>102</v>
      </c>
      <c r="G717" s="58">
        <f t="shared" si="143"/>
        <v>0</v>
      </c>
      <c r="H717" s="58">
        <f t="shared" si="143"/>
        <v>66</v>
      </c>
      <c r="I717" s="58">
        <f t="shared" si="143"/>
        <v>66</v>
      </c>
      <c r="J717" s="77">
        <f t="shared" si="140"/>
        <v>100</v>
      </c>
      <c r="K717" s="49"/>
      <c r="L717" s="50"/>
      <c r="M717" s="72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  <c r="AA717" s="75"/>
      <c r="AB717" s="75"/>
      <c r="AC717" s="75"/>
      <c r="AD717" s="75"/>
      <c r="AE717" s="75"/>
      <c r="AF717" s="75"/>
      <c r="AG717" s="75"/>
    </row>
    <row r="718" spans="1:33" s="16" customFormat="1" ht="33.75" customHeight="1">
      <c r="A718" s="23" t="s">
        <v>943</v>
      </c>
      <c r="B718" s="22" t="s">
        <v>145</v>
      </c>
      <c r="C718" s="23" t="s">
        <v>104</v>
      </c>
      <c r="D718" s="23" t="s">
        <v>283</v>
      </c>
      <c r="E718" s="23" t="s">
        <v>1357</v>
      </c>
      <c r="F718" s="23" t="s">
        <v>102</v>
      </c>
      <c r="G718" s="58">
        <v>0</v>
      </c>
      <c r="H718" s="58">
        <f>66</f>
        <v>66</v>
      </c>
      <c r="I718" s="58">
        <v>66</v>
      </c>
      <c r="J718" s="77">
        <f t="shared" si="140"/>
        <v>100</v>
      </c>
      <c r="K718" s="49"/>
      <c r="L718" s="50"/>
      <c r="M718" s="72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  <c r="AA718" s="75"/>
      <c r="AB718" s="75"/>
      <c r="AC718" s="75"/>
      <c r="AD718" s="75"/>
      <c r="AE718" s="75"/>
      <c r="AF718" s="75"/>
      <c r="AG718" s="75"/>
    </row>
    <row r="719" spans="1:33" s="16" customFormat="1" ht="84" customHeight="1">
      <c r="A719" s="23" t="s">
        <v>1215</v>
      </c>
      <c r="B719" s="39" t="s">
        <v>1474</v>
      </c>
      <c r="C719" s="23" t="s">
        <v>104</v>
      </c>
      <c r="D719" s="23" t="s">
        <v>283</v>
      </c>
      <c r="E719" s="23" t="s">
        <v>1357</v>
      </c>
      <c r="F719" s="23"/>
      <c r="G719" s="58">
        <f aca="true" t="shared" si="144" ref="G719:I720">SUM(G720)</f>
        <v>0</v>
      </c>
      <c r="H719" s="58">
        <f t="shared" si="144"/>
        <v>33</v>
      </c>
      <c r="I719" s="58">
        <f t="shared" si="144"/>
        <v>33</v>
      </c>
      <c r="J719" s="77">
        <f t="shared" si="140"/>
        <v>100</v>
      </c>
      <c r="K719" s="49"/>
      <c r="L719" s="50"/>
      <c r="M719" s="72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  <c r="AA719" s="75"/>
      <c r="AB719" s="75"/>
      <c r="AC719" s="75"/>
      <c r="AD719" s="75"/>
      <c r="AE719" s="75"/>
      <c r="AF719" s="75"/>
      <c r="AG719" s="75"/>
    </row>
    <row r="720" spans="1:33" s="16" customFormat="1" ht="35.25" customHeight="1">
      <c r="A720" s="23" t="s">
        <v>1216</v>
      </c>
      <c r="B720" s="22" t="s">
        <v>270</v>
      </c>
      <c r="C720" s="23" t="s">
        <v>104</v>
      </c>
      <c r="D720" s="23" t="s">
        <v>283</v>
      </c>
      <c r="E720" s="23" t="s">
        <v>1357</v>
      </c>
      <c r="F720" s="23" t="s">
        <v>163</v>
      </c>
      <c r="G720" s="58">
        <f t="shared" si="144"/>
        <v>0</v>
      </c>
      <c r="H720" s="58">
        <f t="shared" si="144"/>
        <v>33</v>
      </c>
      <c r="I720" s="58">
        <f t="shared" si="144"/>
        <v>33</v>
      </c>
      <c r="J720" s="77">
        <f t="shared" si="140"/>
        <v>100</v>
      </c>
      <c r="K720" s="49"/>
      <c r="L720" s="50"/>
      <c r="M720" s="72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  <c r="AA720" s="75"/>
      <c r="AB720" s="75"/>
      <c r="AC720" s="75"/>
      <c r="AD720" s="75"/>
      <c r="AE720" s="75"/>
      <c r="AF720" s="75"/>
      <c r="AG720" s="75"/>
    </row>
    <row r="721" spans="1:33" s="16" customFormat="1" ht="19.5" customHeight="1">
      <c r="A721" s="23" t="s">
        <v>1217</v>
      </c>
      <c r="B721" s="22" t="s">
        <v>165</v>
      </c>
      <c r="C721" s="23" t="s">
        <v>104</v>
      </c>
      <c r="D721" s="23" t="s">
        <v>283</v>
      </c>
      <c r="E721" s="23" t="s">
        <v>1357</v>
      </c>
      <c r="F721" s="23" t="s">
        <v>164</v>
      </c>
      <c r="G721" s="58">
        <v>0</v>
      </c>
      <c r="H721" s="58">
        <v>33</v>
      </c>
      <c r="I721" s="58">
        <v>33</v>
      </c>
      <c r="J721" s="77">
        <f t="shared" si="140"/>
        <v>100</v>
      </c>
      <c r="K721" s="49"/>
      <c r="L721" s="50"/>
      <c r="M721" s="72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  <c r="AA721" s="75"/>
      <c r="AB721" s="75"/>
      <c r="AC721" s="75"/>
      <c r="AD721" s="75"/>
      <c r="AE721" s="75"/>
      <c r="AF721" s="75"/>
      <c r="AG721" s="75"/>
    </row>
    <row r="722" spans="1:33" s="16" customFormat="1" ht="85.5" customHeight="1">
      <c r="A722" s="23" t="s">
        <v>1218</v>
      </c>
      <c r="B722" s="39" t="s">
        <v>1358</v>
      </c>
      <c r="C722" s="23" t="s">
        <v>104</v>
      </c>
      <c r="D722" s="23" t="s">
        <v>283</v>
      </c>
      <c r="E722" s="23" t="s">
        <v>1357</v>
      </c>
      <c r="F722" s="23"/>
      <c r="G722" s="58">
        <f aca="true" t="shared" si="145" ref="G722:I723">SUM(G723)</f>
        <v>0</v>
      </c>
      <c r="H722" s="58">
        <f t="shared" si="145"/>
        <v>3.5</v>
      </c>
      <c r="I722" s="58">
        <f t="shared" si="145"/>
        <v>3.5</v>
      </c>
      <c r="J722" s="77">
        <f t="shared" si="140"/>
        <v>100</v>
      </c>
      <c r="K722" s="49"/>
      <c r="L722" s="50"/>
      <c r="M722" s="72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  <c r="AA722" s="75"/>
      <c r="AB722" s="75"/>
      <c r="AC722" s="75"/>
      <c r="AD722" s="75"/>
      <c r="AE722" s="75"/>
      <c r="AF722" s="75"/>
      <c r="AG722" s="75"/>
    </row>
    <row r="723" spans="1:33" s="16" customFormat="1" ht="30.75" customHeight="1">
      <c r="A723" s="23" t="s">
        <v>1219</v>
      </c>
      <c r="B723" s="22" t="s">
        <v>144</v>
      </c>
      <c r="C723" s="23" t="s">
        <v>104</v>
      </c>
      <c r="D723" s="23" t="s">
        <v>283</v>
      </c>
      <c r="E723" s="23" t="s">
        <v>1357</v>
      </c>
      <c r="F723" s="23" t="s">
        <v>102</v>
      </c>
      <c r="G723" s="58">
        <f t="shared" si="145"/>
        <v>0</v>
      </c>
      <c r="H723" s="58">
        <f t="shared" si="145"/>
        <v>3.5</v>
      </c>
      <c r="I723" s="58">
        <f t="shared" si="145"/>
        <v>3.5</v>
      </c>
      <c r="J723" s="77">
        <f t="shared" si="140"/>
        <v>100</v>
      </c>
      <c r="K723" s="49"/>
      <c r="L723" s="50"/>
      <c r="M723" s="72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  <c r="AA723" s="75"/>
      <c r="AB723" s="75"/>
      <c r="AC723" s="75"/>
      <c r="AD723" s="75"/>
      <c r="AE723" s="75"/>
      <c r="AF723" s="75"/>
      <c r="AG723" s="75"/>
    </row>
    <row r="724" spans="1:33" s="16" customFormat="1" ht="36" customHeight="1">
      <c r="A724" s="23" t="s">
        <v>1220</v>
      </c>
      <c r="B724" s="22" t="s">
        <v>145</v>
      </c>
      <c r="C724" s="23" t="s">
        <v>104</v>
      </c>
      <c r="D724" s="23" t="s">
        <v>283</v>
      </c>
      <c r="E724" s="23" t="s">
        <v>1357</v>
      </c>
      <c r="F724" s="23" t="s">
        <v>102</v>
      </c>
      <c r="G724" s="58">
        <v>0</v>
      </c>
      <c r="H724" s="58">
        <v>3.5</v>
      </c>
      <c r="I724" s="58">
        <v>3.5</v>
      </c>
      <c r="J724" s="77">
        <f t="shared" si="140"/>
        <v>100</v>
      </c>
      <c r="K724" s="49"/>
      <c r="L724" s="50"/>
      <c r="M724" s="72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  <c r="AA724" s="75"/>
      <c r="AB724" s="75"/>
      <c r="AC724" s="75"/>
      <c r="AD724" s="75"/>
      <c r="AE724" s="75"/>
      <c r="AF724" s="75"/>
      <c r="AG724" s="75"/>
    </row>
    <row r="725" spans="1:33" s="16" customFormat="1" ht="81" customHeight="1">
      <c r="A725" s="23" t="s">
        <v>1221</v>
      </c>
      <c r="B725" s="39" t="s">
        <v>1358</v>
      </c>
      <c r="C725" s="23" t="s">
        <v>104</v>
      </c>
      <c r="D725" s="23" t="s">
        <v>283</v>
      </c>
      <c r="E725" s="23" t="s">
        <v>1357</v>
      </c>
      <c r="F725" s="23"/>
      <c r="G725" s="58">
        <f aca="true" t="shared" si="146" ref="G725:I726">SUM(G726)</f>
        <v>0</v>
      </c>
      <c r="H725" s="58">
        <f t="shared" si="146"/>
        <v>1.7</v>
      </c>
      <c r="I725" s="58">
        <f t="shared" si="146"/>
        <v>1.7</v>
      </c>
      <c r="J725" s="77">
        <f t="shared" si="140"/>
        <v>100</v>
      </c>
      <c r="K725" s="49"/>
      <c r="L725" s="50"/>
      <c r="M725" s="72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  <c r="AA725" s="75"/>
      <c r="AB725" s="75"/>
      <c r="AC725" s="75"/>
      <c r="AD725" s="75"/>
      <c r="AE725" s="75"/>
      <c r="AF725" s="75"/>
      <c r="AG725" s="75"/>
    </row>
    <row r="726" spans="1:33" s="16" customFormat="1" ht="30.75" customHeight="1">
      <c r="A726" s="23" t="s">
        <v>1222</v>
      </c>
      <c r="B726" s="22" t="s">
        <v>270</v>
      </c>
      <c r="C726" s="23" t="s">
        <v>104</v>
      </c>
      <c r="D726" s="23" t="s">
        <v>283</v>
      </c>
      <c r="E726" s="23" t="s">
        <v>1357</v>
      </c>
      <c r="F726" s="23" t="s">
        <v>163</v>
      </c>
      <c r="G726" s="58">
        <f t="shared" si="146"/>
        <v>0</v>
      </c>
      <c r="H726" s="58">
        <f t="shared" si="146"/>
        <v>1.7</v>
      </c>
      <c r="I726" s="58">
        <f t="shared" si="146"/>
        <v>1.7</v>
      </c>
      <c r="J726" s="77">
        <f t="shared" si="140"/>
        <v>100</v>
      </c>
      <c r="K726" s="49"/>
      <c r="L726" s="50"/>
      <c r="M726" s="72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  <c r="AB726" s="75"/>
      <c r="AC726" s="75"/>
      <c r="AD726" s="75"/>
      <c r="AE726" s="75"/>
      <c r="AF726" s="75"/>
      <c r="AG726" s="75"/>
    </row>
    <row r="727" spans="1:33" s="16" customFormat="1" ht="19.5" customHeight="1">
      <c r="A727" s="23" t="s">
        <v>1223</v>
      </c>
      <c r="B727" s="22" t="s">
        <v>165</v>
      </c>
      <c r="C727" s="23" t="s">
        <v>104</v>
      </c>
      <c r="D727" s="23" t="s">
        <v>283</v>
      </c>
      <c r="E727" s="23" t="s">
        <v>1357</v>
      </c>
      <c r="F727" s="23" t="s">
        <v>164</v>
      </c>
      <c r="G727" s="58">
        <v>0</v>
      </c>
      <c r="H727" s="58">
        <v>1.7</v>
      </c>
      <c r="I727" s="58">
        <v>1.7</v>
      </c>
      <c r="J727" s="77">
        <f t="shared" si="140"/>
        <v>100</v>
      </c>
      <c r="K727" s="49"/>
      <c r="L727" s="50"/>
      <c r="M727" s="72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  <c r="AA727" s="75"/>
      <c r="AB727" s="75"/>
      <c r="AC727" s="75"/>
      <c r="AD727" s="75"/>
      <c r="AE727" s="75"/>
      <c r="AF727" s="75"/>
      <c r="AG727" s="75"/>
    </row>
    <row r="728" spans="1:33" s="16" customFormat="1" ht="97.5" customHeight="1">
      <c r="A728" s="23" t="s">
        <v>1224</v>
      </c>
      <c r="B728" s="39" t="s">
        <v>648</v>
      </c>
      <c r="C728" s="23" t="s">
        <v>104</v>
      </c>
      <c r="D728" s="23" t="s">
        <v>283</v>
      </c>
      <c r="E728" s="23" t="s">
        <v>563</v>
      </c>
      <c r="F728" s="23"/>
      <c r="G728" s="58">
        <f>SUM(G729+G731)</f>
        <v>1062</v>
      </c>
      <c r="H728" s="58">
        <f>SUM(H729+H731)</f>
        <v>1327.5</v>
      </c>
      <c r="I728" s="58">
        <f>SUM(I729+I731)</f>
        <v>1327.5</v>
      </c>
      <c r="J728" s="77">
        <f t="shared" si="140"/>
        <v>100</v>
      </c>
      <c r="K728" s="49"/>
      <c r="L728" s="50"/>
      <c r="M728" s="72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  <c r="AA728" s="75"/>
      <c r="AB728" s="75"/>
      <c r="AC728" s="75">
        <v>1062</v>
      </c>
      <c r="AD728" s="75"/>
      <c r="AE728" s="75"/>
      <c r="AF728" s="75"/>
      <c r="AG728" s="75"/>
    </row>
    <row r="729" spans="1:33" s="16" customFormat="1" ht="32.25" customHeight="1">
      <c r="A729" s="23" t="s">
        <v>1225</v>
      </c>
      <c r="B729" s="22" t="s">
        <v>144</v>
      </c>
      <c r="C729" s="23" t="s">
        <v>104</v>
      </c>
      <c r="D729" s="23" t="s">
        <v>283</v>
      </c>
      <c r="E729" s="23" t="s">
        <v>563</v>
      </c>
      <c r="F729" s="23" t="s">
        <v>109</v>
      </c>
      <c r="G729" s="58">
        <f>SUM(G730)</f>
        <v>1062</v>
      </c>
      <c r="H729" s="58">
        <f>SUM(H730)</f>
        <v>688.2</v>
      </c>
      <c r="I729" s="58">
        <f>SUM(I730)</f>
        <v>688.2</v>
      </c>
      <c r="J729" s="77">
        <f t="shared" si="140"/>
        <v>100</v>
      </c>
      <c r="K729" s="49"/>
      <c r="L729" s="50"/>
      <c r="M729" s="72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>
        <f>965.6-194.7</f>
        <v>770.9000000000001</v>
      </c>
      <c r="Z729" s="75"/>
      <c r="AA729" s="75"/>
      <c r="AB729" s="75"/>
      <c r="AC729" s="75"/>
      <c r="AD729" s="75"/>
      <c r="AE729" s="75"/>
      <c r="AF729" s="75"/>
      <c r="AG729" s="75"/>
    </row>
    <row r="730" spans="1:33" s="16" customFormat="1" ht="30.75" customHeight="1">
      <c r="A730" s="23" t="s">
        <v>1226</v>
      </c>
      <c r="B730" s="22" t="s">
        <v>145</v>
      </c>
      <c r="C730" s="23" t="s">
        <v>104</v>
      </c>
      <c r="D730" s="23" t="s">
        <v>283</v>
      </c>
      <c r="E730" s="23" t="s">
        <v>563</v>
      </c>
      <c r="F730" s="23" t="s">
        <v>102</v>
      </c>
      <c r="G730" s="58">
        <v>1062</v>
      </c>
      <c r="H730" s="58">
        <f>1062-373.8</f>
        <v>688.2</v>
      </c>
      <c r="I730" s="58">
        <v>688.2</v>
      </c>
      <c r="J730" s="77">
        <f t="shared" si="140"/>
        <v>100</v>
      </c>
      <c r="K730" s="49"/>
      <c r="L730" s="50"/>
      <c r="M730" s="72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  <c r="AA730" s="75">
        <v>1080</v>
      </c>
      <c r="AB730" s="75"/>
      <c r="AC730" s="75"/>
      <c r="AD730" s="75">
        <v>-373.8</v>
      </c>
      <c r="AE730" s="75"/>
      <c r="AF730" s="75"/>
      <c r="AG730" s="75"/>
    </row>
    <row r="731" spans="1:33" s="16" customFormat="1" ht="30.75" customHeight="1">
      <c r="A731" s="23" t="s">
        <v>1227</v>
      </c>
      <c r="B731" s="22" t="s">
        <v>270</v>
      </c>
      <c r="C731" s="23" t="s">
        <v>104</v>
      </c>
      <c r="D731" s="23" t="s">
        <v>283</v>
      </c>
      <c r="E731" s="23" t="s">
        <v>563</v>
      </c>
      <c r="F731" s="23" t="s">
        <v>163</v>
      </c>
      <c r="G731" s="58">
        <f aca="true" t="shared" si="147" ref="G731:I736">SUM(G732)</f>
        <v>0</v>
      </c>
      <c r="H731" s="58">
        <f t="shared" si="147"/>
        <v>639.3</v>
      </c>
      <c r="I731" s="58">
        <f t="shared" si="147"/>
        <v>639.3</v>
      </c>
      <c r="J731" s="77">
        <f t="shared" si="140"/>
        <v>100</v>
      </c>
      <c r="K731" s="49"/>
      <c r="L731" s="50"/>
      <c r="M731" s="72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  <c r="AA731" s="75"/>
      <c r="AB731" s="75"/>
      <c r="AC731" s="75"/>
      <c r="AD731" s="75"/>
      <c r="AE731" s="75"/>
      <c r="AF731" s="75"/>
      <c r="AG731" s="75"/>
    </row>
    <row r="732" spans="1:33" s="16" customFormat="1" ht="30.75" customHeight="1">
      <c r="A732" s="23" t="s">
        <v>1228</v>
      </c>
      <c r="B732" s="22" t="s">
        <v>165</v>
      </c>
      <c r="C732" s="23" t="s">
        <v>104</v>
      </c>
      <c r="D732" s="23" t="s">
        <v>283</v>
      </c>
      <c r="E732" s="23" t="s">
        <v>563</v>
      </c>
      <c r="F732" s="23" t="s">
        <v>164</v>
      </c>
      <c r="G732" s="58">
        <v>0</v>
      </c>
      <c r="H732" s="58">
        <v>639.3</v>
      </c>
      <c r="I732" s="58">
        <v>639.3</v>
      </c>
      <c r="J732" s="77">
        <f t="shared" si="140"/>
        <v>100</v>
      </c>
      <c r="K732" s="49"/>
      <c r="L732" s="50"/>
      <c r="M732" s="72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  <c r="AA732" s="75"/>
      <c r="AB732" s="75"/>
      <c r="AC732" s="75"/>
      <c r="AD732" s="75">
        <v>639.3</v>
      </c>
      <c r="AE732" s="75"/>
      <c r="AF732" s="75"/>
      <c r="AG732" s="75"/>
    </row>
    <row r="733" spans="1:33" s="16" customFormat="1" ht="96" customHeight="1">
      <c r="A733" s="23" t="s">
        <v>1229</v>
      </c>
      <c r="B733" s="39" t="s">
        <v>649</v>
      </c>
      <c r="C733" s="23" t="s">
        <v>104</v>
      </c>
      <c r="D733" s="23" t="s">
        <v>283</v>
      </c>
      <c r="E733" s="23" t="s">
        <v>563</v>
      </c>
      <c r="F733" s="23"/>
      <c r="G733" s="58">
        <f>SUM(G734+G736)</f>
        <v>423</v>
      </c>
      <c r="H733" s="58">
        <f>SUM(H734+H736)</f>
        <v>14.00000000000001</v>
      </c>
      <c r="I733" s="58">
        <f>SUM(I734+I736)</f>
        <v>14</v>
      </c>
      <c r="J733" s="77">
        <f t="shared" si="140"/>
        <v>99.99999999999993</v>
      </c>
      <c r="K733" s="49"/>
      <c r="L733" s="50"/>
      <c r="M733" s="72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>
        <f>24+83.3-21.6</f>
        <v>85.69999999999999</v>
      </c>
      <c r="Y733" s="75"/>
      <c r="Z733" s="75">
        <v>180</v>
      </c>
      <c r="AA733" s="75"/>
      <c r="AB733" s="75"/>
      <c r="AC733" s="75"/>
      <c r="AD733" s="75"/>
      <c r="AE733" s="75"/>
      <c r="AF733" s="75"/>
      <c r="AG733" s="75"/>
    </row>
    <row r="734" spans="1:33" s="16" customFormat="1" ht="31.5" customHeight="1">
      <c r="A734" s="23" t="s">
        <v>1230</v>
      </c>
      <c r="B734" s="22" t="s">
        <v>144</v>
      </c>
      <c r="C734" s="23" t="s">
        <v>104</v>
      </c>
      <c r="D734" s="23" t="s">
        <v>283</v>
      </c>
      <c r="E734" s="23" t="s">
        <v>563</v>
      </c>
      <c r="F734" s="23" t="s">
        <v>109</v>
      </c>
      <c r="G734" s="58">
        <f t="shared" si="147"/>
        <v>423</v>
      </c>
      <c r="H734" s="58">
        <f t="shared" si="147"/>
        <v>7.300000000000011</v>
      </c>
      <c r="I734" s="58">
        <f t="shared" si="147"/>
        <v>7.3</v>
      </c>
      <c r="J734" s="77">
        <f t="shared" si="140"/>
        <v>99.99999999999984</v>
      </c>
      <c r="K734" s="49"/>
      <c r="L734" s="50"/>
      <c r="M734" s="72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</row>
    <row r="735" spans="1:33" s="16" customFormat="1" ht="33" customHeight="1">
      <c r="A735" s="23" t="s">
        <v>1231</v>
      </c>
      <c r="B735" s="22" t="s">
        <v>145</v>
      </c>
      <c r="C735" s="23" t="s">
        <v>104</v>
      </c>
      <c r="D735" s="23" t="s">
        <v>283</v>
      </c>
      <c r="E735" s="23" t="s">
        <v>563</v>
      </c>
      <c r="F735" s="23" t="s">
        <v>102</v>
      </c>
      <c r="G735" s="58">
        <v>423</v>
      </c>
      <c r="H735" s="58">
        <f>423-415.7</f>
        <v>7.300000000000011</v>
      </c>
      <c r="I735" s="58">
        <v>7.3</v>
      </c>
      <c r="J735" s="77">
        <f t="shared" si="140"/>
        <v>99.99999999999984</v>
      </c>
      <c r="K735" s="49">
        <v>96724.2</v>
      </c>
      <c r="L735" s="50"/>
      <c r="M735" s="72"/>
      <c r="N735" s="75"/>
      <c r="O735" s="75"/>
      <c r="P735" s="75"/>
      <c r="Q735" s="75"/>
      <c r="R735" s="75"/>
      <c r="S735" s="75"/>
      <c r="T735" s="75">
        <v>87903.3</v>
      </c>
      <c r="U735" s="75"/>
      <c r="V735" s="75"/>
      <c r="W735" s="75"/>
      <c r="X735" s="75"/>
      <c r="Y735" s="75"/>
      <c r="Z735" s="75"/>
      <c r="AA735" s="75"/>
      <c r="AB735" s="75">
        <v>423</v>
      </c>
      <c r="AC735" s="75"/>
      <c r="AD735" s="75"/>
      <c r="AE735" s="75">
        <v>-415.7</v>
      </c>
      <c r="AF735" s="75"/>
      <c r="AG735" s="75"/>
    </row>
    <row r="736" spans="1:33" s="16" customFormat="1" ht="33" customHeight="1">
      <c r="A736" s="23" t="s">
        <v>1232</v>
      </c>
      <c r="B736" s="22" t="s">
        <v>270</v>
      </c>
      <c r="C736" s="23" t="s">
        <v>104</v>
      </c>
      <c r="D736" s="23" t="s">
        <v>283</v>
      </c>
      <c r="E736" s="23" t="s">
        <v>563</v>
      </c>
      <c r="F736" s="23" t="s">
        <v>163</v>
      </c>
      <c r="G736" s="58">
        <f t="shared" si="147"/>
        <v>0</v>
      </c>
      <c r="H736" s="58">
        <f t="shared" si="147"/>
        <v>6.7</v>
      </c>
      <c r="I736" s="58">
        <f t="shared" si="147"/>
        <v>6.7</v>
      </c>
      <c r="J736" s="77">
        <f t="shared" si="140"/>
        <v>100</v>
      </c>
      <c r="K736" s="49"/>
      <c r="L736" s="50"/>
      <c r="M736" s="72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</row>
    <row r="737" spans="1:33" s="16" customFormat="1" ht="33" customHeight="1">
      <c r="A737" s="23" t="s">
        <v>1233</v>
      </c>
      <c r="B737" s="22" t="s">
        <v>165</v>
      </c>
      <c r="C737" s="23" t="s">
        <v>104</v>
      </c>
      <c r="D737" s="23" t="s">
        <v>283</v>
      </c>
      <c r="E737" s="23" t="s">
        <v>563</v>
      </c>
      <c r="F737" s="23" t="s">
        <v>164</v>
      </c>
      <c r="G737" s="58">
        <v>0</v>
      </c>
      <c r="H737" s="58">
        <v>6.7</v>
      </c>
      <c r="I737" s="58">
        <v>6.7</v>
      </c>
      <c r="J737" s="77">
        <f t="shared" si="140"/>
        <v>100</v>
      </c>
      <c r="K737" s="49"/>
      <c r="L737" s="50"/>
      <c r="M737" s="72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  <c r="AA737" s="75"/>
      <c r="AB737" s="75"/>
      <c r="AC737" s="75"/>
      <c r="AD737" s="75"/>
      <c r="AE737" s="75">
        <v>6.7</v>
      </c>
      <c r="AF737" s="75"/>
      <c r="AG737" s="75"/>
    </row>
    <row r="738" spans="1:33" s="16" customFormat="1" ht="145.5" customHeight="1">
      <c r="A738" s="23" t="s">
        <v>173</v>
      </c>
      <c r="B738" s="22" t="s">
        <v>486</v>
      </c>
      <c r="C738" s="23" t="s">
        <v>104</v>
      </c>
      <c r="D738" s="23" t="s">
        <v>283</v>
      </c>
      <c r="E738" s="23" t="s">
        <v>374</v>
      </c>
      <c r="F738" s="23"/>
      <c r="G738" s="54">
        <f>G739+G741+G743</f>
        <v>114999.6</v>
      </c>
      <c r="H738" s="54">
        <f>H739+H741+H743</f>
        <v>120271.9</v>
      </c>
      <c r="I738" s="54">
        <f>I739+I741+I743</f>
        <v>120255.9</v>
      </c>
      <c r="J738" s="77">
        <f t="shared" si="140"/>
        <v>99.9866968094792</v>
      </c>
      <c r="K738" s="49"/>
      <c r="L738" s="50"/>
      <c r="M738" s="72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  <c r="AA738" s="75">
        <v>99635.6</v>
      </c>
      <c r="AB738" s="75"/>
      <c r="AC738" s="75">
        <v>114999.6</v>
      </c>
      <c r="AD738" s="75"/>
      <c r="AE738" s="75"/>
      <c r="AF738" s="75"/>
      <c r="AG738" s="75"/>
    </row>
    <row r="739" spans="1:33" s="16" customFormat="1" ht="53.25" customHeight="1">
      <c r="A739" s="23" t="s">
        <v>1234</v>
      </c>
      <c r="B739" s="25" t="s">
        <v>181</v>
      </c>
      <c r="C739" s="23" t="s">
        <v>104</v>
      </c>
      <c r="D739" s="23" t="s">
        <v>283</v>
      </c>
      <c r="E739" s="23" t="s">
        <v>374</v>
      </c>
      <c r="F739" s="23" t="s">
        <v>179</v>
      </c>
      <c r="G739" s="54">
        <f>G740</f>
        <v>66698.2</v>
      </c>
      <c r="H739" s="54">
        <f>H740</f>
        <v>68314.9</v>
      </c>
      <c r="I739" s="54">
        <f>I740</f>
        <v>68314.9</v>
      </c>
      <c r="J739" s="77">
        <f t="shared" si="140"/>
        <v>100</v>
      </c>
      <c r="K739" s="49"/>
      <c r="L739" s="50"/>
      <c r="M739" s="72">
        <v>-12.6</v>
      </c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>
        <v>330.4</v>
      </c>
      <c r="Z739" s="75"/>
      <c r="AA739" s="75"/>
      <c r="AB739" s="75"/>
      <c r="AC739" s="75"/>
      <c r="AD739" s="75"/>
      <c r="AE739" s="75"/>
      <c r="AF739" s="75"/>
      <c r="AG739" s="75"/>
    </row>
    <row r="740" spans="1:33" s="16" customFormat="1" ht="23.25" customHeight="1">
      <c r="A740" s="23" t="s">
        <v>1235</v>
      </c>
      <c r="B740" s="25" t="s">
        <v>182</v>
      </c>
      <c r="C740" s="23" t="s">
        <v>104</v>
      </c>
      <c r="D740" s="23" t="s">
        <v>283</v>
      </c>
      <c r="E740" s="23" t="s">
        <v>374</v>
      </c>
      <c r="F740" s="23" t="s">
        <v>211</v>
      </c>
      <c r="G740" s="58">
        <v>66698.2</v>
      </c>
      <c r="H740" s="58">
        <v>68314.9</v>
      </c>
      <c r="I740" s="58">
        <v>68314.9</v>
      </c>
      <c r="J740" s="77">
        <f t="shared" si="140"/>
        <v>100</v>
      </c>
      <c r="K740" s="49"/>
      <c r="L740" s="50"/>
      <c r="M740" s="72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  <c r="AA740" s="75"/>
      <c r="AB740" s="75"/>
      <c r="AC740" s="75"/>
      <c r="AD740" s="75">
        <v>2525.9</v>
      </c>
      <c r="AE740" s="75"/>
      <c r="AF740" s="75"/>
      <c r="AG740" s="75">
        <v>613.4</v>
      </c>
    </row>
    <row r="741" spans="1:33" s="17" customFormat="1" ht="36.75" customHeight="1">
      <c r="A741" s="23" t="s">
        <v>1236</v>
      </c>
      <c r="B741" s="22" t="s">
        <v>144</v>
      </c>
      <c r="C741" s="23" t="s">
        <v>104</v>
      </c>
      <c r="D741" s="23" t="s">
        <v>283</v>
      </c>
      <c r="E741" s="23" t="s">
        <v>374</v>
      </c>
      <c r="F741" s="23" t="s">
        <v>109</v>
      </c>
      <c r="G741" s="54">
        <f>G742</f>
        <v>3140</v>
      </c>
      <c r="H741" s="54">
        <f>H742</f>
        <v>3688.1</v>
      </c>
      <c r="I741" s="54">
        <f>I742</f>
        <v>3672.1</v>
      </c>
      <c r="J741" s="77">
        <f t="shared" si="140"/>
        <v>99.56617228383179</v>
      </c>
      <c r="K741" s="51"/>
      <c r="L741" s="46"/>
      <c r="M741" s="89">
        <v>-711.8</v>
      </c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43">
        <v>-563</v>
      </c>
      <c r="Z741" s="65"/>
      <c r="AA741" s="65"/>
      <c r="AB741" s="65"/>
      <c r="AC741" s="65"/>
      <c r="AD741" s="65"/>
      <c r="AE741" s="65"/>
      <c r="AF741" s="65"/>
      <c r="AG741" s="65"/>
    </row>
    <row r="742" spans="1:33" s="17" customFormat="1" ht="33.75" customHeight="1">
      <c r="A742" s="23" t="s">
        <v>1237</v>
      </c>
      <c r="B742" s="22" t="s">
        <v>145</v>
      </c>
      <c r="C742" s="23" t="s">
        <v>104</v>
      </c>
      <c r="D742" s="23" t="s">
        <v>283</v>
      </c>
      <c r="E742" s="23" t="s">
        <v>374</v>
      </c>
      <c r="F742" s="23" t="s">
        <v>102</v>
      </c>
      <c r="G742" s="54">
        <v>3140</v>
      </c>
      <c r="H742" s="54">
        <f>3140+49.9+468.7+29.5</f>
        <v>3688.1</v>
      </c>
      <c r="I742" s="54">
        <v>3672.1</v>
      </c>
      <c r="J742" s="77">
        <f t="shared" si="140"/>
        <v>99.56617228383179</v>
      </c>
      <c r="K742" s="51"/>
      <c r="L742" s="46"/>
      <c r="M742" s="89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43"/>
      <c r="Y742" s="43"/>
      <c r="Z742" s="65"/>
      <c r="AA742" s="65"/>
      <c r="AB742" s="65"/>
      <c r="AC742" s="43"/>
      <c r="AD742" s="43">
        <v>49.9</v>
      </c>
      <c r="AE742" s="65"/>
      <c r="AF742" s="43"/>
      <c r="AG742" s="43">
        <v>29.5</v>
      </c>
    </row>
    <row r="743" spans="1:33" s="17" customFormat="1" ht="35.25" customHeight="1">
      <c r="A743" s="23" t="s">
        <v>1238</v>
      </c>
      <c r="B743" s="22" t="s">
        <v>270</v>
      </c>
      <c r="C743" s="23" t="s">
        <v>104</v>
      </c>
      <c r="D743" s="23" t="s">
        <v>283</v>
      </c>
      <c r="E743" s="23" t="s">
        <v>374</v>
      </c>
      <c r="F743" s="23" t="s">
        <v>163</v>
      </c>
      <c r="G743" s="54">
        <f>G744</f>
        <v>45161.4</v>
      </c>
      <c r="H743" s="54">
        <f>H744</f>
        <v>48268.9</v>
      </c>
      <c r="I743" s="54">
        <f>I744</f>
        <v>48268.9</v>
      </c>
      <c r="J743" s="77">
        <f t="shared" si="140"/>
        <v>100</v>
      </c>
      <c r="K743" s="51"/>
      <c r="L743" s="46"/>
      <c r="M743" s="89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43"/>
      <c r="Y743" s="43"/>
      <c r="Z743" s="65"/>
      <c r="AA743" s="65"/>
      <c r="AB743" s="65"/>
      <c r="AC743" s="65"/>
      <c r="AD743" s="65"/>
      <c r="AE743" s="65"/>
      <c r="AF743" s="65"/>
      <c r="AG743" s="65"/>
    </row>
    <row r="744" spans="1:33" s="17" customFormat="1" ht="21.75" customHeight="1">
      <c r="A744" s="23" t="s">
        <v>1239</v>
      </c>
      <c r="B744" s="22" t="s">
        <v>165</v>
      </c>
      <c r="C744" s="23" t="s">
        <v>104</v>
      </c>
      <c r="D744" s="23" t="s">
        <v>283</v>
      </c>
      <c r="E744" s="23" t="s">
        <v>374</v>
      </c>
      <c r="F744" s="23" t="s">
        <v>164</v>
      </c>
      <c r="G744" s="58">
        <v>45161.4</v>
      </c>
      <c r="H744" s="58">
        <v>48268.9</v>
      </c>
      <c r="I744" s="58">
        <v>48268.9</v>
      </c>
      <c r="J744" s="77">
        <f t="shared" si="140"/>
        <v>100</v>
      </c>
      <c r="K744" s="51"/>
      <c r="L744" s="46"/>
      <c r="M744" s="89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43"/>
      <c r="Y744" s="43">
        <v>5040.8</v>
      </c>
      <c r="Z744" s="65"/>
      <c r="AA744" s="65"/>
      <c r="AB744" s="65"/>
      <c r="AC744" s="43"/>
      <c r="AD744" s="43">
        <v>860.7</v>
      </c>
      <c r="AE744" s="65"/>
      <c r="AF744" s="43"/>
      <c r="AG744" s="43">
        <f>82.4+401.4</f>
        <v>483.79999999999995</v>
      </c>
    </row>
    <row r="745" spans="1:33" s="17" customFormat="1" ht="104.25" customHeight="1">
      <c r="A745" s="23" t="s">
        <v>1240</v>
      </c>
      <c r="B745" s="22" t="s">
        <v>960</v>
      </c>
      <c r="C745" s="23" t="s">
        <v>104</v>
      </c>
      <c r="D745" s="23" t="s">
        <v>283</v>
      </c>
      <c r="E745" s="23" t="s">
        <v>785</v>
      </c>
      <c r="F745" s="23"/>
      <c r="G745" s="54">
        <f aca="true" t="shared" si="148" ref="G745:I746">SUM(G746)</f>
        <v>1064</v>
      </c>
      <c r="H745" s="54">
        <f t="shared" si="148"/>
        <v>1001.3</v>
      </c>
      <c r="I745" s="54">
        <f t="shared" si="148"/>
        <v>938.1</v>
      </c>
      <c r="J745" s="77">
        <f t="shared" si="140"/>
        <v>93.68820533306702</v>
      </c>
      <c r="K745" s="51"/>
      <c r="L745" s="46"/>
      <c r="M745" s="89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  <c r="AA745" s="65"/>
      <c r="AB745" s="65"/>
      <c r="AC745" s="65"/>
      <c r="AD745" s="65"/>
      <c r="AE745" s="65"/>
      <c r="AF745" s="65"/>
      <c r="AG745" s="65"/>
    </row>
    <row r="746" spans="1:33" s="17" customFormat="1" ht="30" customHeight="1">
      <c r="A746" s="23" t="s">
        <v>1241</v>
      </c>
      <c r="B746" s="22" t="s">
        <v>144</v>
      </c>
      <c r="C746" s="23" t="s">
        <v>104</v>
      </c>
      <c r="D746" s="23" t="s">
        <v>283</v>
      </c>
      <c r="E746" s="23" t="s">
        <v>785</v>
      </c>
      <c r="F746" s="23" t="s">
        <v>109</v>
      </c>
      <c r="G746" s="54">
        <f t="shared" si="148"/>
        <v>1064</v>
      </c>
      <c r="H746" s="54">
        <f t="shared" si="148"/>
        <v>1001.3</v>
      </c>
      <c r="I746" s="54">
        <f t="shared" si="148"/>
        <v>938.1</v>
      </c>
      <c r="J746" s="77">
        <f t="shared" si="140"/>
        <v>93.68820533306702</v>
      </c>
      <c r="K746" s="51"/>
      <c r="L746" s="46"/>
      <c r="M746" s="89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  <c r="AA746" s="65"/>
      <c r="AB746" s="65"/>
      <c r="AC746" s="65"/>
      <c r="AD746" s="65"/>
      <c r="AE746" s="65"/>
      <c r="AF746" s="65"/>
      <c r="AG746" s="65"/>
    </row>
    <row r="747" spans="1:33" s="17" customFormat="1" ht="30.75" customHeight="1">
      <c r="A747" s="23" t="s">
        <v>1242</v>
      </c>
      <c r="B747" s="22" t="s">
        <v>145</v>
      </c>
      <c r="C747" s="23" t="s">
        <v>104</v>
      </c>
      <c r="D747" s="23" t="s">
        <v>283</v>
      </c>
      <c r="E747" s="23" t="s">
        <v>785</v>
      </c>
      <c r="F747" s="23" t="s">
        <v>102</v>
      </c>
      <c r="G747" s="54">
        <v>1064</v>
      </c>
      <c r="H747" s="54">
        <f>1064-100+37.3</f>
        <v>1001.3</v>
      </c>
      <c r="I747" s="54">
        <v>938.1</v>
      </c>
      <c r="J747" s="77">
        <f t="shared" si="140"/>
        <v>93.68820533306702</v>
      </c>
      <c r="K747" s="51"/>
      <c r="L747" s="46"/>
      <c r="M747" s="89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43">
        <v>-150</v>
      </c>
      <c r="Y747" s="65"/>
      <c r="Z747" s="65">
        <v>1064</v>
      </c>
      <c r="AA747" s="65"/>
      <c r="AB747" s="43">
        <v>1064</v>
      </c>
      <c r="AC747" s="65"/>
      <c r="AD747" s="65"/>
      <c r="AE747" s="65"/>
      <c r="AF747" s="43">
        <v>37.3</v>
      </c>
      <c r="AG747" s="43"/>
    </row>
    <row r="748" spans="1:33" s="17" customFormat="1" ht="89.25" customHeight="1">
      <c r="A748" s="23" t="s">
        <v>1243</v>
      </c>
      <c r="B748" s="22" t="s">
        <v>962</v>
      </c>
      <c r="C748" s="23" t="s">
        <v>104</v>
      </c>
      <c r="D748" s="23" t="s">
        <v>283</v>
      </c>
      <c r="E748" s="23" t="s">
        <v>788</v>
      </c>
      <c r="F748" s="23"/>
      <c r="G748" s="54">
        <f aca="true" t="shared" si="149" ref="G748:I749">G749</f>
        <v>150</v>
      </c>
      <c r="H748" s="54">
        <f t="shared" si="149"/>
        <v>150</v>
      </c>
      <c r="I748" s="54">
        <f t="shared" si="149"/>
        <v>150</v>
      </c>
      <c r="J748" s="77">
        <f t="shared" si="140"/>
        <v>100</v>
      </c>
      <c r="K748" s="51"/>
      <c r="L748" s="46"/>
      <c r="M748" s="89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  <c r="AA748" s="65"/>
      <c r="AB748" s="65"/>
      <c r="AC748" s="65"/>
      <c r="AD748" s="65"/>
      <c r="AE748" s="65"/>
      <c r="AF748" s="65"/>
      <c r="AG748" s="65"/>
    </row>
    <row r="749" spans="1:33" s="17" customFormat="1" ht="31.5" customHeight="1">
      <c r="A749" s="23" t="s">
        <v>1244</v>
      </c>
      <c r="B749" s="22" t="s">
        <v>144</v>
      </c>
      <c r="C749" s="23" t="s">
        <v>104</v>
      </c>
      <c r="D749" s="23" t="s">
        <v>283</v>
      </c>
      <c r="E749" s="23" t="s">
        <v>788</v>
      </c>
      <c r="F749" s="23" t="s">
        <v>109</v>
      </c>
      <c r="G749" s="54">
        <f t="shared" si="149"/>
        <v>150</v>
      </c>
      <c r="H749" s="54">
        <f t="shared" si="149"/>
        <v>150</v>
      </c>
      <c r="I749" s="54">
        <f t="shared" si="149"/>
        <v>150</v>
      </c>
      <c r="J749" s="77">
        <f t="shared" si="140"/>
        <v>100</v>
      </c>
      <c r="K749" s="51"/>
      <c r="L749" s="46"/>
      <c r="M749" s="89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  <c r="AA749" s="65"/>
      <c r="AB749" s="65"/>
      <c r="AC749" s="65"/>
      <c r="AD749" s="65"/>
      <c r="AE749" s="65"/>
      <c r="AF749" s="65"/>
      <c r="AG749" s="65"/>
    </row>
    <row r="750" spans="1:33" s="17" customFormat="1" ht="32.25" customHeight="1">
      <c r="A750" s="23" t="s">
        <v>1245</v>
      </c>
      <c r="B750" s="22" t="s">
        <v>145</v>
      </c>
      <c r="C750" s="23" t="s">
        <v>104</v>
      </c>
      <c r="D750" s="23" t="s">
        <v>283</v>
      </c>
      <c r="E750" s="23" t="s">
        <v>788</v>
      </c>
      <c r="F750" s="23" t="s">
        <v>102</v>
      </c>
      <c r="G750" s="58">
        <v>150</v>
      </c>
      <c r="H750" s="58">
        <v>150</v>
      </c>
      <c r="I750" s="58">
        <v>150</v>
      </c>
      <c r="J750" s="77">
        <f t="shared" si="140"/>
        <v>100</v>
      </c>
      <c r="K750" s="51"/>
      <c r="L750" s="46"/>
      <c r="M750" s="89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>
        <v>3</v>
      </c>
      <c r="Y750" s="65"/>
      <c r="Z750" s="65">
        <v>150</v>
      </c>
      <c r="AA750" s="65"/>
      <c r="AB750" s="43">
        <v>150</v>
      </c>
      <c r="AC750" s="65"/>
      <c r="AD750" s="65"/>
      <c r="AE750" s="65"/>
      <c r="AF750" s="65"/>
      <c r="AG750" s="65"/>
    </row>
    <row r="751" spans="1:33" s="17" customFormat="1" ht="65.25" customHeight="1">
      <c r="A751" s="23" t="s">
        <v>1246</v>
      </c>
      <c r="B751" s="25" t="s">
        <v>482</v>
      </c>
      <c r="C751" s="23" t="s">
        <v>104</v>
      </c>
      <c r="D751" s="23" t="s">
        <v>283</v>
      </c>
      <c r="E751" s="23" t="s">
        <v>789</v>
      </c>
      <c r="F751" s="23"/>
      <c r="G751" s="58">
        <f>G754+G752</f>
        <v>40</v>
      </c>
      <c r="H751" s="58">
        <f>H754+H752</f>
        <v>38.7</v>
      </c>
      <c r="I751" s="58">
        <f>I754+I752</f>
        <v>38.5</v>
      </c>
      <c r="J751" s="77">
        <f t="shared" si="140"/>
        <v>99.48320413436691</v>
      </c>
      <c r="K751" s="51"/>
      <c r="L751" s="46"/>
      <c r="M751" s="89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>
        <v>40</v>
      </c>
      <c r="AA751" s="65"/>
      <c r="AB751" s="65"/>
      <c r="AC751" s="65"/>
      <c r="AD751" s="65"/>
      <c r="AE751" s="65"/>
      <c r="AF751" s="65"/>
      <c r="AG751" s="65"/>
    </row>
    <row r="752" spans="1:33" s="17" customFormat="1" ht="35.25" customHeight="1">
      <c r="A752" s="23" t="s">
        <v>1247</v>
      </c>
      <c r="B752" s="22" t="s">
        <v>144</v>
      </c>
      <c r="C752" s="23" t="s">
        <v>104</v>
      </c>
      <c r="D752" s="23" t="s">
        <v>283</v>
      </c>
      <c r="E752" s="23" t="s">
        <v>789</v>
      </c>
      <c r="F752" s="23" t="s">
        <v>109</v>
      </c>
      <c r="G752" s="58">
        <f aca="true" t="shared" si="150" ref="G752:I754">G753</f>
        <v>0</v>
      </c>
      <c r="H752" s="58">
        <f t="shared" si="150"/>
        <v>10</v>
      </c>
      <c r="I752" s="58">
        <f t="shared" si="150"/>
        <v>10</v>
      </c>
      <c r="J752" s="77">
        <f t="shared" si="140"/>
        <v>100</v>
      </c>
      <c r="K752" s="51"/>
      <c r="L752" s="46"/>
      <c r="M752" s="89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  <c r="AA752" s="65"/>
      <c r="AB752" s="65"/>
      <c r="AC752" s="65"/>
      <c r="AD752" s="65"/>
      <c r="AE752" s="65"/>
      <c r="AF752" s="65"/>
      <c r="AG752" s="65"/>
    </row>
    <row r="753" spans="1:33" s="17" customFormat="1" ht="48.75" customHeight="1">
      <c r="A753" s="23" t="s">
        <v>1248</v>
      </c>
      <c r="B753" s="22" t="s">
        <v>145</v>
      </c>
      <c r="C753" s="23" t="s">
        <v>104</v>
      </c>
      <c r="D753" s="23" t="s">
        <v>283</v>
      </c>
      <c r="E753" s="23" t="s">
        <v>789</v>
      </c>
      <c r="F753" s="23" t="s">
        <v>102</v>
      </c>
      <c r="G753" s="58">
        <v>0</v>
      </c>
      <c r="H753" s="58">
        <v>10</v>
      </c>
      <c r="I753" s="58">
        <v>10</v>
      </c>
      <c r="J753" s="77">
        <f t="shared" si="140"/>
        <v>100</v>
      </c>
      <c r="K753" s="51"/>
      <c r="L753" s="46"/>
      <c r="M753" s="89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  <c r="AA753" s="65"/>
      <c r="AB753" s="65"/>
      <c r="AC753" s="65"/>
      <c r="AD753" s="65"/>
      <c r="AE753" s="65"/>
      <c r="AF753" s="65"/>
      <c r="AG753" s="43"/>
    </row>
    <row r="754" spans="1:33" s="17" customFormat="1" ht="31.5" customHeight="1">
      <c r="A754" s="23" t="s">
        <v>1249</v>
      </c>
      <c r="B754" s="22" t="s">
        <v>270</v>
      </c>
      <c r="C754" s="23" t="s">
        <v>104</v>
      </c>
      <c r="D754" s="23" t="s">
        <v>283</v>
      </c>
      <c r="E754" s="23" t="s">
        <v>789</v>
      </c>
      <c r="F754" s="23" t="s">
        <v>163</v>
      </c>
      <c r="G754" s="58">
        <f t="shared" si="150"/>
        <v>40</v>
      </c>
      <c r="H754" s="58">
        <f t="shared" si="150"/>
        <v>28.7</v>
      </c>
      <c r="I754" s="58">
        <f t="shared" si="150"/>
        <v>28.5</v>
      </c>
      <c r="J754" s="77">
        <f t="shared" si="140"/>
        <v>99.30313588850174</v>
      </c>
      <c r="K754" s="51"/>
      <c r="L754" s="46"/>
      <c r="M754" s="89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  <c r="AA754" s="65"/>
      <c r="AB754" s="65"/>
      <c r="AC754" s="65"/>
      <c r="AD754" s="65"/>
      <c r="AE754" s="65"/>
      <c r="AF754" s="65"/>
      <c r="AG754" s="65"/>
    </row>
    <row r="755" spans="1:33" s="17" customFormat="1" ht="21.75" customHeight="1">
      <c r="A755" s="23" t="s">
        <v>1250</v>
      </c>
      <c r="B755" s="22" t="s">
        <v>165</v>
      </c>
      <c r="C755" s="23" t="s">
        <v>104</v>
      </c>
      <c r="D755" s="23" t="s">
        <v>283</v>
      </c>
      <c r="E755" s="23" t="s">
        <v>789</v>
      </c>
      <c r="F755" s="23" t="s">
        <v>164</v>
      </c>
      <c r="G755" s="58">
        <v>40</v>
      </c>
      <c r="H755" s="58">
        <v>28.7</v>
      </c>
      <c r="I755" s="58">
        <v>28.5</v>
      </c>
      <c r="J755" s="77">
        <f t="shared" si="140"/>
        <v>99.30313588850174</v>
      </c>
      <c r="K755" s="51"/>
      <c r="L755" s="46"/>
      <c r="M755" s="89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43">
        <f>-773.5+3867.7</f>
        <v>3094.2</v>
      </c>
      <c r="Z755" s="65"/>
      <c r="AA755" s="65"/>
      <c r="AB755" s="43">
        <v>40</v>
      </c>
      <c r="AC755" s="65"/>
      <c r="AD755" s="65"/>
      <c r="AE755" s="65"/>
      <c r="AF755" s="43">
        <v>-1.3</v>
      </c>
      <c r="AG755" s="43"/>
    </row>
    <row r="756" spans="1:33" s="17" customFormat="1" ht="80.25" customHeight="1">
      <c r="A756" s="23" t="s">
        <v>1251</v>
      </c>
      <c r="B756" s="39" t="s">
        <v>863</v>
      </c>
      <c r="C756" s="23" t="s">
        <v>104</v>
      </c>
      <c r="D756" s="23" t="s">
        <v>283</v>
      </c>
      <c r="E756" s="23" t="s">
        <v>866</v>
      </c>
      <c r="F756" s="23"/>
      <c r="G756" s="58">
        <f aca="true" t="shared" si="151" ref="G756:I760">G757</f>
        <v>3430.4</v>
      </c>
      <c r="H756" s="58">
        <f t="shared" si="151"/>
        <v>0</v>
      </c>
      <c r="I756" s="58">
        <f t="shared" si="151"/>
        <v>0</v>
      </c>
      <c r="J756" s="77">
        <v>0</v>
      </c>
      <c r="K756" s="51"/>
      <c r="L756" s="46"/>
      <c r="M756" s="89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  <c r="AA756" s="65"/>
      <c r="AB756" s="65"/>
      <c r="AC756" s="43">
        <v>3430.4</v>
      </c>
      <c r="AD756" s="65"/>
      <c r="AE756" s="65"/>
      <c r="AF756" s="65"/>
      <c r="AG756" s="65"/>
    </row>
    <row r="757" spans="1:33" s="17" customFormat="1" ht="30" customHeight="1">
      <c r="A757" s="23" t="s">
        <v>1252</v>
      </c>
      <c r="B757" s="22" t="s">
        <v>144</v>
      </c>
      <c r="C757" s="23" t="s">
        <v>104</v>
      </c>
      <c r="D757" s="23" t="s">
        <v>283</v>
      </c>
      <c r="E757" s="23" t="s">
        <v>866</v>
      </c>
      <c r="F757" s="23" t="s">
        <v>109</v>
      </c>
      <c r="G757" s="58">
        <f t="shared" si="151"/>
        <v>3430.4</v>
      </c>
      <c r="H757" s="58">
        <f t="shared" si="151"/>
        <v>0</v>
      </c>
      <c r="I757" s="58">
        <f t="shared" si="151"/>
        <v>0</v>
      </c>
      <c r="J757" s="77">
        <v>0</v>
      </c>
      <c r="K757" s="51"/>
      <c r="L757" s="46"/>
      <c r="M757" s="89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  <c r="AA757" s="65"/>
      <c r="AB757" s="65"/>
      <c r="AC757" s="65"/>
      <c r="AD757" s="65"/>
      <c r="AE757" s="65"/>
      <c r="AF757" s="65"/>
      <c r="AG757" s="65"/>
    </row>
    <row r="758" spans="1:33" s="17" customFormat="1" ht="31.5" customHeight="1">
      <c r="A758" s="23" t="s">
        <v>1253</v>
      </c>
      <c r="B758" s="22" t="s">
        <v>145</v>
      </c>
      <c r="C758" s="23" t="s">
        <v>104</v>
      </c>
      <c r="D758" s="23" t="s">
        <v>283</v>
      </c>
      <c r="E758" s="23" t="s">
        <v>866</v>
      </c>
      <c r="F758" s="23" t="s">
        <v>102</v>
      </c>
      <c r="G758" s="106">
        <v>3430.4</v>
      </c>
      <c r="H758" s="106">
        <f>3430.4-3430.4</f>
        <v>0</v>
      </c>
      <c r="I758" s="106">
        <v>0</v>
      </c>
      <c r="J758" s="77">
        <v>0</v>
      </c>
      <c r="K758" s="51"/>
      <c r="L758" s="46"/>
      <c r="M758" s="89"/>
      <c r="N758" s="65"/>
      <c r="O758" s="65"/>
      <c r="P758" s="65"/>
      <c r="Q758" s="65"/>
      <c r="R758" s="65"/>
      <c r="S758" s="65"/>
      <c r="T758" s="65"/>
      <c r="U758" s="43">
        <v>39.5</v>
      </c>
      <c r="V758" s="65"/>
      <c r="W758" s="65"/>
      <c r="X758" s="43">
        <v>-39.5</v>
      </c>
      <c r="Y758" s="65"/>
      <c r="Z758" s="65"/>
      <c r="AA758" s="65"/>
      <c r="AB758" s="65"/>
      <c r="AC758" s="65"/>
      <c r="AD758" s="43">
        <v>-3430.4</v>
      </c>
      <c r="AE758" s="65"/>
      <c r="AF758" s="65"/>
      <c r="AG758" s="65"/>
    </row>
    <row r="759" spans="1:33" s="17" customFormat="1" ht="98.25" customHeight="1">
      <c r="A759" s="23" t="s">
        <v>1254</v>
      </c>
      <c r="B759" s="39" t="s">
        <v>1213</v>
      </c>
      <c r="C759" s="23" t="s">
        <v>104</v>
      </c>
      <c r="D759" s="23" t="s">
        <v>283</v>
      </c>
      <c r="E759" s="23" t="s">
        <v>1214</v>
      </c>
      <c r="F759" s="23"/>
      <c r="G759" s="58">
        <f t="shared" si="151"/>
        <v>0</v>
      </c>
      <c r="H759" s="58">
        <f t="shared" si="151"/>
        <v>127.8</v>
      </c>
      <c r="I759" s="58">
        <f t="shared" si="151"/>
        <v>127.8</v>
      </c>
      <c r="J759" s="77">
        <f t="shared" si="140"/>
        <v>100</v>
      </c>
      <c r="K759" s="51"/>
      <c r="L759" s="46"/>
      <c r="M759" s="89"/>
      <c r="N759" s="65"/>
      <c r="O759" s="65"/>
      <c r="P759" s="65"/>
      <c r="Q759" s="65"/>
      <c r="R759" s="65"/>
      <c r="S759" s="65"/>
      <c r="T759" s="65"/>
      <c r="U759" s="43"/>
      <c r="V759" s="65"/>
      <c r="W759" s="65"/>
      <c r="X759" s="43"/>
      <c r="Y759" s="65"/>
      <c r="Z759" s="65"/>
      <c r="AA759" s="65"/>
      <c r="AB759" s="65"/>
      <c r="AC759" s="65"/>
      <c r="AD759" s="43"/>
      <c r="AE759" s="65"/>
      <c r="AF759" s="65"/>
      <c r="AG759" s="65"/>
    </row>
    <row r="760" spans="1:33" s="17" customFormat="1" ht="31.5" customHeight="1">
      <c r="A760" s="23" t="s">
        <v>1255</v>
      </c>
      <c r="B760" s="22" t="s">
        <v>270</v>
      </c>
      <c r="C760" s="23" t="s">
        <v>104</v>
      </c>
      <c r="D760" s="23" t="s">
        <v>283</v>
      </c>
      <c r="E760" s="23" t="s">
        <v>1214</v>
      </c>
      <c r="F760" s="23" t="s">
        <v>163</v>
      </c>
      <c r="G760" s="58">
        <f t="shared" si="151"/>
        <v>0</v>
      </c>
      <c r="H760" s="58">
        <f t="shared" si="151"/>
        <v>127.8</v>
      </c>
      <c r="I760" s="58">
        <f t="shared" si="151"/>
        <v>127.8</v>
      </c>
      <c r="J760" s="77">
        <f t="shared" si="140"/>
        <v>100</v>
      </c>
      <c r="K760" s="51"/>
      <c r="L760" s="46"/>
      <c r="M760" s="89"/>
      <c r="N760" s="65"/>
      <c r="O760" s="65"/>
      <c r="P760" s="65"/>
      <c r="Q760" s="65"/>
      <c r="R760" s="65"/>
      <c r="S760" s="65"/>
      <c r="T760" s="65"/>
      <c r="U760" s="43"/>
      <c r="V760" s="65"/>
      <c r="W760" s="65"/>
      <c r="X760" s="43"/>
      <c r="Y760" s="65"/>
      <c r="Z760" s="65"/>
      <c r="AA760" s="65"/>
      <c r="AB760" s="65"/>
      <c r="AC760" s="65"/>
      <c r="AD760" s="43"/>
      <c r="AE760" s="65"/>
      <c r="AF760" s="65"/>
      <c r="AG760" s="65"/>
    </row>
    <row r="761" spans="1:33" s="17" customFormat="1" ht="31.5" customHeight="1">
      <c r="A761" s="23" t="s">
        <v>1256</v>
      </c>
      <c r="B761" s="22" t="s">
        <v>165</v>
      </c>
      <c r="C761" s="23" t="s">
        <v>104</v>
      </c>
      <c r="D761" s="23" t="s">
        <v>283</v>
      </c>
      <c r="E761" s="23" t="s">
        <v>1214</v>
      </c>
      <c r="F761" s="23" t="s">
        <v>164</v>
      </c>
      <c r="G761" s="106">
        <v>0</v>
      </c>
      <c r="H761" s="106">
        <v>127.8</v>
      </c>
      <c r="I761" s="106">
        <v>127.8</v>
      </c>
      <c r="J761" s="77">
        <f t="shared" si="140"/>
        <v>100</v>
      </c>
      <c r="K761" s="51"/>
      <c r="L761" s="46"/>
      <c r="M761" s="89"/>
      <c r="N761" s="65"/>
      <c r="O761" s="65"/>
      <c r="P761" s="65"/>
      <c r="Q761" s="65"/>
      <c r="R761" s="65"/>
      <c r="S761" s="65"/>
      <c r="T761" s="65"/>
      <c r="U761" s="43"/>
      <c r="V761" s="65"/>
      <c r="W761" s="65"/>
      <c r="X761" s="43"/>
      <c r="Y761" s="65"/>
      <c r="Z761" s="65"/>
      <c r="AA761" s="65"/>
      <c r="AB761" s="65"/>
      <c r="AC761" s="65"/>
      <c r="AD761" s="43">
        <v>127.8</v>
      </c>
      <c r="AE761" s="65"/>
      <c r="AF761" s="65"/>
      <c r="AG761" s="65"/>
    </row>
    <row r="762" spans="1:33" s="17" customFormat="1" ht="21.75" customHeight="1">
      <c r="A762" s="23" t="s">
        <v>1257</v>
      </c>
      <c r="B762" s="35" t="s">
        <v>457</v>
      </c>
      <c r="C762" s="36" t="s">
        <v>104</v>
      </c>
      <c r="D762" s="36" t="s">
        <v>456</v>
      </c>
      <c r="E762" s="101"/>
      <c r="F762" s="36"/>
      <c r="G762" s="80">
        <f aca="true" t="shared" si="152" ref="G762:I763">G763</f>
        <v>20570.6</v>
      </c>
      <c r="H762" s="80">
        <f t="shared" si="152"/>
        <v>20739.4</v>
      </c>
      <c r="I762" s="80">
        <f t="shared" si="152"/>
        <v>20677.3</v>
      </c>
      <c r="J762" s="77">
        <f t="shared" si="140"/>
        <v>99.70056992969901</v>
      </c>
      <c r="K762" s="51"/>
      <c r="L762" s="62">
        <v>8138.5</v>
      </c>
      <c r="M762" s="74"/>
      <c r="N762" s="65"/>
      <c r="O762" s="65"/>
      <c r="P762" s="65"/>
      <c r="Q762" s="65"/>
      <c r="R762" s="65"/>
      <c r="S762" s="65"/>
      <c r="T762" s="65"/>
      <c r="U762" s="43">
        <v>9094.2</v>
      </c>
      <c r="V762" s="65"/>
      <c r="W762" s="65"/>
      <c r="X762" s="65"/>
      <c r="Y762" s="65"/>
      <c r="Z762" s="65"/>
      <c r="AA762" s="65"/>
      <c r="AB762" s="65"/>
      <c r="AC762" s="65"/>
      <c r="AD762" s="65"/>
      <c r="AE762" s="65"/>
      <c r="AF762" s="65"/>
      <c r="AG762" s="65"/>
    </row>
    <row r="763" spans="1:33" s="17" customFormat="1" ht="30.75" customHeight="1">
      <c r="A763" s="23" t="s">
        <v>1258</v>
      </c>
      <c r="B763" s="24" t="s">
        <v>268</v>
      </c>
      <c r="C763" s="23" t="s">
        <v>104</v>
      </c>
      <c r="D763" s="23" t="s">
        <v>456</v>
      </c>
      <c r="E763" s="23" t="s">
        <v>356</v>
      </c>
      <c r="F763" s="23"/>
      <c r="G763" s="58">
        <f t="shared" si="152"/>
        <v>20570.6</v>
      </c>
      <c r="H763" s="58">
        <f t="shared" si="152"/>
        <v>20739.4</v>
      </c>
      <c r="I763" s="58">
        <f t="shared" si="152"/>
        <v>20677.3</v>
      </c>
      <c r="J763" s="77">
        <f t="shared" si="140"/>
        <v>99.70056992969901</v>
      </c>
      <c r="K763" s="51"/>
      <c r="L763" s="46"/>
      <c r="M763" s="74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  <c r="AA763" s="65"/>
      <c r="AB763" s="65"/>
      <c r="AC763" s="65"/>
      <c r="AD763" s="65"/>
      <c r="AE763" s="65"/>
      <c r="AF763" s="65"/>
      <c r="AG763" s="65"/>
    </row>
    <row r="764" spans="1:33" s="17" customFormat="1" ht="25.5">
      <c r="A764" s="23" t="s">
        <v>1259</v>
      </c>
      <c r="B764" s="24" t="s">
        <v>269</v>
      </c>
      <c r="C764" s="23" t="s">
        <v>104</v>
      </c>
      <c r="D764" s="23" t="s">
        <v>456</v>
      </c>
      <c r="E764" s="23" t="s">
        <v>357</v>
      </c>
      <c r="F764" s="23"/>
      <c r="G764" s="58">
        <f>G765+G768+G774+G779+G782+G789+G771</f>
        <v>20570.6</v>
      </c>
      <c r="H764" s="58">
        <f>H765+H768+H774+H779+H782+H789+H771</f>
        <v>20739.4</v>
      </c>
      <c r="I764" s="58">
        <f>I765+I768+I774+I779+I782+I789+I771</f>
        <v>20677.3</v>
      </c>
      <c r="J764" s="77">
        <f t="shared" si="140"/>
        <v>99.70056992969901</v>
      </c>
      <c r="K764" s="51"/>
      <c r="L764" s="46"/>
      <c r="M764" s="74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43">
        <v>-978</v>
      </c>
      <c r="Y764" s="65"/>
      <c r="Z764" s="65"/>
      <c r="AA764" s="65"/>
      <c r="AB764" s="65"/>
      <c r="AC764" s="65"/>
      <c r="AD764" s="65"/>
      <c r="AE764" s="65"/>
      <c r="AF764" s="65"/>
      <c r="AG764" s="65"/>
    </row>
    <row r="765" spans="1:33" s="17" customFormat="1" ht="56.25" customHeight="1">
      <c r="A765" s="23" t="s">
        <v>1260</v>
      </c>
      <c r="B765" s="22" t="s">
        <v>782</v>
      </c>
      <c r="C765" s="23" t="s">
        <v>104</v>
      </c>
      <c r="D765" s="23" t="s">
        <v>456</v>
      </c>
      <c r="E765" s="23" t="s">
        <v>783</v>
      </c>
      <c r="F765" s="23"/>
      <c r="G765" s="58">
        <f aca="true" t="shared" si="153" ref="G765:I766">G766</f>
        <v>10448.6</v>
      </c>
      <c r="H765" s="58">
        <f t="shared" si="153"/>
        <v>10333.7</v>
      </c>
      <c r="I765" s="58">
        <f t="shared" si="153"/>
        <v>10333.7</v>
      </c>
      <c r="J765" s="77">
        <f t="shared" si="140"/>
        <v>100</v>
      </c>
      <c r="K765" s="51"/>
      <c r="L765" s="46"/>
      <c r="M765" s="74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  <c r="AA765" s="65"/>
      <c r="AB765" s="65"/>
      <c r="AC765" s="65"/>
      <c r="AD765" s="65"/>
      <c r="AE765" s="65"/>
      <c r="AF765" s="65"/>
      <c r="AG765" s="65"/>
    </row>
    <row r="766" spans="1:33" s="17" customFormat="1" ht="31.5" customHeight="1">
      <c r="A766" s="23" t="s">
        <v>1261</v>
      </c>
      <c r="B766" s="22" t="s">
        <v>270</v>
      </c>
      <c r="C766" s="23" t="s">
        <v>104</v>
      </c>
      <c r="D766" s="23" t="s">
        <v>456</v>
      </c>
      <c r="E766" s="23" t="s">
        <v>783</v>
      </c>
      <c r="F766" s="23" t="s">
        <v>163</v>
      </c>
      <c r="G766" s="58">
        <f t="shared" si="153"/>
        <v>10448.6</v>
      </c>
      <c r="H766" s="58">
        <f t="shared" si="153"/>
        <v>10333.7</v>
      </c>
      <c r="I766" s="58">
        <f t="shared" si="153"/>
        <v>10333.7</v>
      </c>
      <c r="J766" s="77">
        <f t="shared" si="140"/>
        <v>100</v>
      </c>
      <c r="K766" s="51"/>
      <c r="L766" s="46"/>
      <c r="M766" s="74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  <c r="AA766" s="65"/>
      <c r="AB766" s="65"/>
      <c r="AC766" s="65"/>
      <c r="AD766" s="65"/>
      <c r="AE766" s="65"/>
      <c r="AF766" s="65"/>
      <c r="AG766" s="65"/>
    </row>
    <row r="767" spans="1:33" s="17" customFormat="1" ht="20.25" customHeight="1">
      <c r="A767" s="23" t="s">
        <v>1262</v>
      </c>
      <c r="B767" s="22" t="s">
        <v>165</v>
      </c>
      <c r="C767" s="23" t="s">
        <v>104</v>
      </c>
      <c r="D767" s="23" t="s">
        <v>456</v>
      </c>
      <c r="E767" s="23" t="s">
        <v>783</v>
      </c>
      <c r="F767" s="23" t="s">
        <v>164</v>
      </c>
      <c r="G767" s="58">
        <v>10448.6</v>
      </c>
      <c r="H767" s="58">
        <f>10448.6+114.9-114.9-114.9</f>
        <v>10333.7</v>
      </c>
      <c r="I767" s="58">
        <v>10333.7</v>
      </c>
      <c r="J767" s="77">
        <f aca="true" t="shared" si="154" ref="J767:J825">I767/H767*100</f>
        <v>100</v>
      </c>
      <c r="K767" s="51"/>
      <c r="L767" s="46"/>
      <c r="M767" s="74"/>
      <c r="N767" s="65"/>
      <c r="O767" s="65"/>
      <c r="P767" s="65"/>
      <c r="Q767" s="65"/>
      <c r="R767" s="65"/>
      <c r="S767" s="65"/>
      <c r="T767" s="65"/>
      <c r="U767" s="43">
        <v>299.1</v>
      </c>
      <c r="V767" s="65"/>
      <c r="W767" s="65"/>
      <c r="X767" s="43">
        <v>-21.8</v>
      </c>
      <c r="Y767" s="65"/>
      <c r="Z767" s="65">
        <v>8187.1</v>
      </c>
      <c r="AA767" s="65"/>
      <c r="AB767" s="43">
        <v>10448.6</v>
      </c>
      <c r="AC767" s="43"/>
      <c r="AD767" s="65"/>
      <c r="AE767" s="43">
        <v>114.9</v>
      </c>
      <c r="AF767" s="65"/>
      <c r="AG767" s="43"/>
    </row>
    <row r="768" spans="1:33" s="17" customFormat="1" ht="81" customHeight="1">
      <c r="A768" s="23" t="s">
        <v>1263</v>
      </c>
      <c r="B768" s="22" t="s">
        <v>787</v>
      </c>
      <c r="C768" s="23" t="s">
        <v>104</v>
      </c>
      <c r="D768" s="23" t="s">
        <v>456</v>
      </c>
      <c r="E768" s="23" t="s">
        <v>588</v>
      </c>
      <c r="F768" s="23"/>
      <c r="G768" s="58">
        <f aca="true" t="shared" si="155" ref="G768:I769">G769</f>
        <v>328.9</v>
      </c>
      <c r="H768" s="58">
        <f t="shared" si="155"/>
        <v>328.9</v>
      </c>
      <c r="I768" s="58">
        <f t="shared" si="155"/>
        <v>328.9</v>
      </c>
      <c r="J768" s="77">
        <f t="shared" si="154"/>
        <v>100</v>
      </c>
      <c r="K768" s="51"/>
      <c r="L768" s="46"/>
      <c r="M768" s="74"/>
      <c r="N768" s="65"/>
      <c r="O768" s="65"/>
      <c r="P768" s="65"/>
      <c r="Q768" s="65"/>
      <c r="R768" s="65"/>
      <c r="S768" s="65"/>
      <c r="T768" s="65"/>
      <c r="U768" s="43"/>
      <c r="V768" s="65"/>
      <c r="W768" s="65"/>
      <c r="X768" s="65"/>
      <c r="Y768" s="65"/>
      <c r="Z768" s="65"/>
      <c r="AA768" s="65"/>
      <c r="AB768" s="65"/>
      <c r="AC768" s="65"/>
      <c r="AD768" s="65"/>
      <c r="AE768" s="65"/>
      <c r="AF768" s="65"/>
      <c r="AG768" s="65"/>
    </row>
    <row r="769" spans="1:33" s="17" customFormat="1" ht="29.25" customHeight="1">
      <c r="A769" s="23" t="s">
        <v>1264</v>
      </c>
      <c r="B769" s="22" t="s">
        <v>270</v>
      </c>
      <c r="C769" s="23" t="s">
        <v>104</v>
      </c>
      <c r="D769" s="23" t="s">
        <v>456</v>
      </c>
      <c r="E769" s="23" t="s">
        <v>588</v>
      </c>
      <c r="F769" s="23" t="s">
        <v>163</v>
      </c>
      <c r="G769" s="58">
        <f t="shared" si="155"/>
        <v>328.9</v>
      </c>
      <c r="H769" s="58">
        <f t="shared" si="155"/>
        <v>328.9</v>
      </c>
      <c r="I769" s="58">
        <f t="shared" si="155"/>
        <v>328.9</v>
      </c>
      <c r="J769" s="77">
        <f t="shared" si="154"/>
        <v>100</v>
      </c>
      <c r="K769" s="51"/>
      <c r="L769" s="46"/>
      <c r="M769" s="74"/>
      <c r="N769" s="65"/>
      <c r="O769" s="65"/>
      <c r="P769" s="65"/>
      <c r="Q769" s="65"/>
      <c r="R769" s="65"/>
      <c r="S769" s="65"/>
      <c r="T769" s="65"/>
      <c r="U769" s="43"/>
      <c r="V769" s="65"/>
      <c r="W769" s="65"/>
      <c r="X769" s="43"/>
      <c r="Y769" s="43"/>
      <c r="Z769" s="65"/>
      <c r="AA769" s="65"/>
      <c r="AB769" s="65"/>
      <c r="AC769" s="65"/>
      <c r="AD769" s="65"/>
      <c r="AE769" s="65"/>
      <c r="AF769" s="65"/>
      <c r="AG769" s="65"/>
    </row>
    <row r="770" spans="1:33" s="17" customFormat="1" ht="15.75" customHeight="1">
      <c r="A770" s="23" t="s">
        <v>1265</v>
      </c>
      <c r="B770" s="22" t="s">
        <v>165</v>
      </c>
      <c r="C770" s="23" t="s">
        <v>104</v>
      </c>
      <c r="D770" s="23" t="s">
        <v>456</v>
      </c>
      <c r="E770" s="23" t="s">
        <v>588</v>
      </c>
      <c r="F770" s="23" t="s">
        <v>164</v>
      </c>
      <c r="G770" s="58">
        <v>328.9</v>
      </c>
      <c r="H770" s="58">
        <v>328.9</v>
      </c>
      <c r="I770" s="58">
        <v>328.9</v>
      </c>
      <c r="J770" s="77">
        <f t="shared" si="154"/>
        <v>100</v>
      </c>
      <c r="K770" s="51"/>
      <c r="L770" s="46"/>
      <c r="M770" s="74"/>
      <c r="N770" s="65"/>
      <c r="O770" s="65"/>
      <c r="P770" s="65"/>
      <c r="Q770" s="65"/>
      <c r="R770" s="65"/>
      <c r="S770" s="65"/>
      <c r="T770" s="65"/>
      <c r="U770" s="43"/>
      <c r="V770" s="65"/>
      <c r="W770" s="65"/>
      <c r="X770" s="43"/>
      <c r="Y770" s="43">
        <v>220.9</v>
      </c>
      <c r="Z770" s="65">
        <v>237.4</v>
      </c>
      <c r="AA770" s="65"/>
      <c r="AB770" s="43">
        <v>328.9</v>
      </c>
      <c r="AC770" s="65"/>
      <c r="AD770" s="65"/>
      <c r="AE770" s="65"/>
      <c r="AF770" s="65"/>
      <c r="AG770" s="65"/>
    </row>
    <row r="771" spans="1:33" s="17" customFormat="1" ht="69.75" customHeight="1">
      <c r="A771" s="23" t="s">
        <v>1266</v>
      </c>
      <c r="B771" s="25" t="s">
        <v>1433</v>
      </c>
      <c r="C771" s="23" t="s">
        <v>104</v>
      </c>
      <c r="D771" s="23" t="s">
        <v>456</v>
      </c>
      <c r="E771" s="23" t="s">
        <v>1434</v>
      </c>
      <c r="F771" s="23"/>
      <c r="G771" s="58">
        <f aca="true" t="shared" si="156" ref="G771:I772">G772</f>
        <v>0</v>
      </c>
      <c r="H771" s="58">
        <f t="shared" si="156"/>
        <v>200</v>
      </c>
      <c r="I771" s="58">
        <f t="shared" si="156"/>
        <v>200</v>
      </c>
      <c r="J771" s="77">
        <f t="shared" si="154"/>
        <v>100</v>
      </c>
      <c r="K771" s="51"/>
      <c r="L771" s="46"/>
      <c r="M771" s="74"/>
      <c r="N771" s="65"/>
      <c r="O771" s="65"/>
      <c r="P771" s="65"/>
      <c r="Q771" s="65"/>
      <c r="R771" s="65"/>
      <c r="S771" s="65"/>
      <c r="T771" s="65"/>
      <c r="U771" s="43"/>
      <c r="V771" s="65"/>
      <c r="W771" s="65"/>
      <c r="X771" s="43"/>
      <c r="Y771" s="43"/>
      <c r="Z771" s="65"/>
      <c r="AA771" s="65"/>
      <c r="AB771" s="43"/>
      <c r="AC771" s="65"/>
      <c r="AD771" s="65"/>
      <c r="AE771" s="65"/>
      <c r="AF771" s="65"/>
      <c r="AG771" s="65"/>
    </row>
    <row r="772" spans="1:33" s="17" customFormat="1" ht="51" customHeight="1">
      <c r="A772" s="23" t="s">
        <v>1267</v>
      </c>
      <c r="B772" s="22" t="s">
        <v>270</v>
      </c>
      <c r="C772" s="23" t="s">
        <v>104</v>
      </c>
      <c r="D772" s="23" t="s">
        <v>456</v>
      </c>
      <c r="E772" s="23" t="s">
        <v>1434</v>
      </c>
      <c r="F772" s="23" t="s">
        <v>163</v>
      </c>
      <c r="G772" s="58">
        <f t="shared" si="156"/>
        <v>0</v>
      </c>
      <c r="H772" s="58">
        <f t="shared" si="156"/>
        <v>200</v>
      </c>
      <c r="I772" s="58">
        <f t="shared" si="156"/>
        <v>200</v>
      </c>
      <c r="J772" s="77">
        <f t="shared" si="154"/>
        <v>100</v>
      </c>
      <c r="K772" s="51"/>
      <c r="L772" s="46"/>
      <c r="M772" s="74"/>
      <c r="N772" s="65"/>
      <c r="O772" s="65"/>
      <c r="P772" s="65"/>
      <c r="Q772" s="65"/>
      <c r="R772" s="65"/>
      <c r="S772" s="65"/>
      <c r="T772" s="65"/>
      <c r="U772" s="43"/>
      <c r="V772" s="65"/>
      <c r="W772" s="65"/>
      <c r="X772" s="43"/>
      <c r="Y772" s="43"/>
      <c r="Z772" s="65"/>
      <c r="AA772" s="65"/>
      <c r="AB772" s="43"/>
      <c r="AC772" s="65"/>
      <c r="AD772" s="65"/>
      <c r="AE772" s="65"/>
      <c r="AF772" s="65"/>
      <c r="AG772" s="65"/>
    </row>
    <row r="773" spans="1:33" s="17" customFormat="1" ht="15.75" customHeight="1">
      <c r="A773" s="23" t="s">
        <v>1268</v>
      </c>
      <c r="B773" s="22" t="s">
        <v>165</v>
      </c>
      <c r="C773" s="23" t="s">
        <v>104</v>
      </c>
      <c r="D773" s="23" t="s">
        <v>456</v>
      </c>
      <c r="E773" s="23" t="s">
        <v>1434</v>
      </c>
      <c r="F773" s="23" t="s">
        <v>164</v>
      </c>
      <c r="G773" s="58">
        <v>0</v>
      </c>
      <c r="H773" s="58">
        <v>200</v>
      </c>
      <c r="I773" s="58">
        <v>200</v>
      </c>
      <c r="J773" s="77">
        <f t="shared" si="154"/>
        <v>100</v>
      </c>
      <c r="K773" s="51"/>
      <c r="L773" s="46"/>
      <c r="M773" s="74"/>
      <c r="N773" s="65"/>
      <c r="O773" s="65"/>
      <c r="P773" s="65"/>
      <c r="Q773" s="65"/>
      <c r="R773" s="65"/>
      <c r="S773" s="65"/>
      <c r="T773" s="65"/>
      <c r="U773" s="43"/>
      <c r="V773" s="65"/>
      <c r="W773" s="65"/>
      <c r="X773" s="43"/>
      <c r="Y773" s="43"/>
      <c r="Z773" s="65"/>
      <c r="AA773" s="65"/>
      <c r="AB773" s="43"/>
      <c r="AC773" s="65"/>
      <c r="AD773" s="65"/>
      <c r="AE773" s="65"/>
      <c r="AF773" s="43"/>
      <c r="AG773" s="65"/>
    </row>
    <row r="774" spans="1:33" s="17" customFormat="1" ht="150.75" customHeight="1">
      <c r="A774" s="23" t="s">
        <v>1269</v>
      </c>
      <c r="B774" s="22" t="s">
        <v>486</v>
      </c>
      <c r="C774" s="23" t="s">
        <v>104</v>
      </c>
      <c r="D774" s="23" t="s">
        <v>456</v>
      </c>
      <c r="E774" s="23" t="s">
        <v>374</v>
      </c>
      <c r="F774" s="23"/>
      <c r="G774" s="54">
        <f>G775+G777</f>
        <v>5616.5</v>
      </c>
      <c r="H774" s="54">
        <f>H775+H777</f>
        <v>5988.1</v>
      </c>
      <c r="I774" s="54">
        <f>I775+I777</f>
        <v>5988.1</v>
      </c>
      <c r="J774" s="77">
        <f t="shared" si="154"/>
        <v>100</v>
      </c>
      <c r="K774" s="51"/>
      <c r="L774" s="46"/>
      <c r="M774" s="89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  <c r="AA774" s="65">
        <v>4340</v>
      </c>
      <c r="AB774" s="65"/>
      <c r="AC774" s="43">
        <v>5616.5</v>
      </c>
      <c r="AD774" s="65"/>
      <c r="AE774" s="65"/>
      <c r="AF774" s="65"/>
      <c r="AG774" s="65"/>
    </row>
    <row r="775" spans="1:33" s="17" customFormat="1" ht="57.75" customHeight="1">
      <c r="A775" s="23" t="s">
        <v>1270</v>
      </c>
      <c r="B775" s="25" t="s">
        <v>181</v>
      </c>
      <c r="C775" s="23" t="s">
        <v>104</v>
      </c>
      <c r="D775" s="23" t="s">
        <v>456</v>
      </c>
      <c r="E775" s="23" t="s">
        <v>374</v>
      </c>
      <c r="F775" s="23" t="s">
        <v>179</v>
      </c>
      <c r="G775" s="54">
        <f>G776</f>
        <v>3408.9</v>
      </c>
      <c r="H775" s="54">
        <f>H776</f>
        <v>3642.7</v>
      </c>
      <c r="I775" s="54">
        <f>I776</f>
        <v>3642.7</v>
      </c>
      <c r="J775" s="77">
        <f t="shared" si="154"/>
        <v>100</v>
      </c>
      <c r="K775" s="51"/>
      <c r="L775" s="46"/>
      <c r="M775" s="89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  <c r="AA775" s="65"/>
      <c r="AB775" s="65"/>
      <c r="AC775" s="65"/>
      <c r="AD775" s="65"/>
      <c r="AE775" s="65"/>
      <c r="AF775" s="65"/>
      <c r="AG775" s="65"/>
    </row>
    <row r="776" spans="1:33" s="17" customFormat="1" ht="18.75" customHeight="1">
      <c r="A776" s="23" t="s">
        <v>1271</v>
      </c>
      <c r="B776" s="25" t="s">
        <v>182</v>
      </c>
      <c r="C776" s="23" t="s">
        <v>104</v>
      </c>
      <c r="D776" s="23" t="s">
        <v>456</v>
      </c>
      <c r="E776" s="23" t="s">
        <v>374</v>
      </c>
      <c r="F776" s="23" t="s">
        <v>211</v>
      </c>
      <c r="G776" s="58">
        <v>3408.9</v>
      </c>
      <c r="H776" s="58">
        <v>3642.7</v>
      </c>
      <c r="I776" s="58">
        <v>3642.7</v>
      </c>
      <c r="J776" s="77">
        <f t="shared" si="154"/>
        <v>100</v>
      </c>
      <c r="K776" s="51"/>
      <c r="L776" s="46"/>
      <c r="M776" s="89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  <c r="AA776" s="43"/>
      <c r="AB776" s="43"/>
      <c r="AC776" s="43"/>
      <c r="AD776" s="43">
        <v>150.2</v>
      </c>
      <c r="AE776" s="65"/>
      <c r="AF776" s="43"/>
      <c r="AG776" s="43">
        <v>33.3</v>
      </c>
    </row>
    <row r="777" spans="1:33" s="17" customFormat="1" ht="31.5" customHeight="1">
      <c r="A777" s="23" t="s">
        <v>1272</v>
      </c>
      <c r="B777" s="22" t="s">
        <v>270</v>
      </c>
      <c r="C777" s="23" t="s">
        <v>104</v>
      </c>
      <c r="D777" s="23" t="s">
        <v>456</v>
      </c>
      <c r="E777" s="23" t="s">
        <v>374</v>
      </c>
      <c r="F777" s="23" t="s">
        <v>163</v>
      </c>
      <c r="G777" s="54">
        <f>G778</f>
        <v>2207.6</v>
      </c>
      <c r="H777" s="54">
        <f>H778</f>
        <v>2345.4</v>
      </c>
      <c r="I777" s="54">
        <f>I778</f>
        <v>2345.4</v>
      </c>
      <c r="J777" s="77">
        <f t="shared" si="154"/>
        <v>100</v>
      </c>
      <c r="K777" s="51"/>
      <c r="L777" s="46"/>
      <c r="M777" s="89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43"/>
      <c r="Y777" s="43"/>
      <c r="Z777" s="65"/>
      <c r="AA777" s="65"/>
      <c r="AB777" s="65"/>
      <c r="AC777" s="65"/>
      <c r="AD777" s="65"/>
      <c r="AE777" s="65"/>
      <c r="AF777" s="65"/>
      <c r="AG777" s="65"/>
    </row>
    <row r="778" spans="1:33" s="17" customFormat="1" ht="18" customHeight="1">
      <c r="A778" s="23" t="s">
        <v>1273</v>
      </c>
      <c r="B778" s="22" t="s">
        <v>165</v>
      </c>
      <c r="C778" s="23" t="s">
        <v>104</v>
      </c>
      <c r="D778" s="23" t="s">
        <v>456</v>
      </c>
      <c r="E778" s="23" t="s">
        <v>374</v>
      </c>
      <c r="F778" s="23" t="s">
        <v>164</v>
      </c>
      <c r="G778" s="54">
        <v>2207.6</v>
      </c>
      <c r="H778" s="54">
        <f>2207.6+23.8+92.5+21.5</f>
        <v>2345.4</v>
      </c>
      <c r="I778" s="54">
        <v>2345.4</v>
      </c>
      <c r="J778" s="77">
        <f t="shared" si="154"/>
        <v>100</v>
      </c>
      <c r="K778" s="51"/>
      <c r="L778" s="46"/>
      <c r="M778" s="89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43">
        <v>-176</v>
      </c>
      <c r="Y778" s="43"/>
      <c r="Z778" s="65"/>
      <c r="AA778" s="65"/>
      <c r="AB778" s="65"/>
      <c r="AC778" s="43"/>
      <c r="AD778" s="43">
        <v>23.8</v>
      </c>
      <c r="AE778" s="65"/>
      <c r="AF778" s="43"/>
      <c r="AG778" s="43">
        <v>21.5</v>
      </c>
    </row>
    <row r="779" spans="1:33" s="17" customFormat="1" ht="76.5">
      <c r="A779" s="23" t="s">
        <v>1274</v>
      </c>
      <c r="B779" s="24" t="s">
        <v>645</v>
      </c>
      <c r="C779" s="23" t="s">
        <v>104</v>
      </c>
      <c r="D779" s="23" t="s">
        <v>456</v>
      </c>
      <c r="E779" s="23" t="s">
        <v>786</v>
      </c>
      <c r="F779" s="23"/>
      <c r="G779" s="58">
        <f aca="true" t="shared" si="157" ref="G779:I780">G780</f>
        <v>1610.5</v>
      </c>
      <c r="H779" s="58">
        <f t="shared" si="157"/>
        <v>1201.5</v>
      </c>
      <c r="I779" s="58">
        <f t="shared" si="157"/>
        <v>1201.5</v>
      </c>
      <c r="J779" s="77">
        <f t="shared" si="154"/>
        <v>100</v>
      </c>
      <c r="K779" s="51"/>
      <c r="L779" s="46"/>
      <c r="M779" s="89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43">
        <v>978</v>
      </c>
      <c r="Y779" s="43"/>
      <c r="Z779" s="65">
        <v>1372.9</v>
      </c>
      <c r="AA779" s="65"/>
      <c r="AB779" s="43">
        <v>1610.5</v>
      </c>
      <c r="AC779" s="65"/>
      <c r="AD779" s="65"/>
      <c r="AE779" s="65"/>
      <c r="AF779" s="65"/>
      <c r="AG779" s="65"/>
    </row>
    <row r="780" spans="1:33" s="17" customFormat="1" ht="30.75" customHeight="1">
      <c r="A780" s="23" t="s">
        <v>1275</v>
      </c>
      <c r="B780" s="22" t="s">
        <v>270</v>
      </c>
      <c r="C780" s="23" t="s">
        <v>104</v>
      </c>
      <c r="D780" s="23" t="s">
        <v>456</v>
      </c>
      <c r="E780" s="23" t="s">
        <v>786</v>
      </c>
      <c r="F780" s="23" t="s">
        <v>163</v>
      </c>
      <c r="G780" s="58">
        <f t="shared" si="157"/>
        <v>1610.5</v>
      </c>
      <c r="H780" s="58">
        <f t="shared" si="157"/>
        <v>1201.5</v>
      </c>
      <c r="I780" s="58">
        <f t="shared" si="157"/>
        <v>1201.5</v>
      </c>
      <c r="J780" s="77">
        <f t="shared" si="154"/>
        <v>100</v>
      </c>
      <c r="K780" s="51"/>
      <c r="L780" s="46"/>
      <c r="M780" s="89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43"/>
      <c r="Y780" s="43"/>
      <c r="Z780" s="65"/>
      <c r="AA780" s="65"/>
      <c r="AB780" s="65"/>
      <c r="AC780" s="65"/>
      <c r="AD780" s="65"/>
      <c r="AE780" s="65"/>
      <c r="AF780" s="65"/>
      <c r="AG780" s="65"/>
    </row>
    <row r="781" spans="1:33" s="17" customFormat="1" ht="19.5" customHeight="1">
      <c r="A781" s="23" t="s">
        <v>1276</v>
      </c>
      <c r="B781" s="22" t="s">
        <v>165</v>
      </c>
      <c r="C781" s="23" t="s">
        <v>104</v>
      </c>
      <c r="D781" s="23" t="s">
        <v>456</v>
      </c>
      <c r="E781" s="23" t="s">
        <v>786</v>
      </c>
      <c r="F781" s="23" t="s">
        <v>164</v>
      </c>
      <c r="G781" s="58">
        <v>1610.5</v>
      </c>
      <c r="H781" s="58">
        <f>1610.5-251-158</f>
        <v>1201.5</v>
      </c>
      <c r="I781" s="58">
        <v>1201.5</v>
      </c>
      <c r="J781" s="77">
        <f t="shared" si="154"/>
        <v>100</v>
      </c>
      <c r="K781" s="51"/>
      <c r="L781" s="46"/>
      <c r="M781" s="89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43"/>
      <c r="Y781" s="43"/>
      <c r="Z781" s="65"/>
      <c r="AA781" s="65"/>
      <c r="AB781" s="43"/>
      <c r="AC781" s="65"/>
      <c r="AD781" s="65"/>
      <c r="AE781" s="65"/>
      <c r="AF781" s="43">
        <v>-158</v>
      </c>
      <c r="AG781" s="43"/>
    </row>
    <row r="782" spans="1:33" s="17" customFormat="1" ht="84" customHeight="1">
      <c r="A782" s="23" t="s">
        <v>1277</v>
      </c>
      <c r="B782" s="102" t="s">
        <v>1430</v>
      </c>
      <c r="C782" s="23" t="s">
        <v>104</v>
      </c>
      <c r="D782" s="23" t="s">
        <v>456</v>
      </c>
      <c r="E782" s="23" t="s">
        <v>809</v>
      </c>
      <c r="F782" s="23"/>
      <c r="G782" s="58">
        <f>G783+G787</f>
        <v>2566.1000000000004</v>
      </c>
      <c r="H782" s="58">
        <f>H783+H787</f>
        <v>2681.1000000000004</v>
      </c>
      <c r="I782" s="58">
        <f>I783+I787</f>
        <v>2619</v>
      </c>
      <c r="J782" s="77">
        <f t="shared" si="154"/>
        <v>97.68378650553876</v>
      </c>
      <c r="K782" s="51"/>
      <c r="L782" s="46"/>
      <c r="M782" s="89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43"/>
      <c r="Y782" s="43"/>
      <c r="Z782" s="65">
        <v>2177</v>
      </c>
      <c r="AA782" s="65"/>
      <c r="AB782" s="43">
        <v>2566.1</v>
      </c>
      <c r="AC782" s="65"/>
      <c r="AD782" s="65"/>
      <c r="AE782" s="65"/>
      <c r="AF782" s="65"/>
      <c r="AG782" s="65"/>
    </row>
    <row r="783" spans="1:33" s="17" customFormat="1" ht="31.5" customHeight="1">
      <c r="A783" s="23" t="s">
        <v>1278</v>
      </c>
      <c r="B783" s="22" t="s">
        <v>270</v>
      </c>
      <c r="C783" s="23" t="s">
        <v>104</v>
      </c>
      <c r="D783" s="23" t="s">
        <v>456</v>
      </c>
      <c r="E783" s="23" t="s">
        <v>809</v>
      </c>
      <c r="F783" s="23" t="s">
        <v>163</v>
      </c>
      <c r="G783" s="58">
        <f>G784+G785+G786</f>
        <v>2551.7000000000003</v>
      </c>
      <c r="H783" s="58">
        <f>H784+H785+H786</f>
        <v>2666.7000000000003</v>
      </c>
      <c r="I783" s="58">
        <f>I784+I785+I786</f>
        <v>2619</v>
      </c>
      <c r="J783" s="77">
        <f t="shared" si="154"/>
        <v>98.2112723590955</v>
      </c>
      <c r="K783" s="51"/>
      <c r="L783" s="46"/>
      <c r="M783" s="89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43"/>
      <c r="Y783" s="43"/>
      <c r="Z783" s="65"/>
      <c r="AA783" s="65"/>
      <c r="AB783" s="65"/>
      <c r="AC783" s="65"/>
      <c r="AD783" s="65"/>
      <c r="AE783" s="65"/>
      <c r="AF783" s="65"/>
      <c r="AG783" s="65"/>
    </row>
    <row r="784" spans="1:33" s="17" customFormat="1" ht="18" customHeight="1">
      <c r="A784" s="23" t="s">
        <v>1279</v>
      </c>
      <c r="B784" s="22" t="s">
        <v>165</v>
      </c>
      <c r="C784" s="23" t="s">
        <v>104</v>
      </c>
      <c r="D784" s="23" t="s">
        <v>456</v>
      </c>
      <c r="E784" s="23" t="s">
        <v>809</v>
      </c>
      <c r="F784" s="23" t="s">
        <v>164</v>
      </c>
      <c r="G784" s="58">
        <v>2522.9</v>
      </c>
      <c r="H784" s="58">
        <f>2522.9+114.9+0.1</f>
        <v>2637.9</v>
      </c>
      <c r="I784" s="58">
        <v>2619</v>
      </c>
      <c r="J784" s="77">
        <f t="shared" si="154"/>
        <v>99.2835209825998</v>
      </c>
      <c r="K784" s="51"/>
      <c r="L784" s="46"/>
      <c r="M784" s="89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43"/>
      <c r="Y784" s="43"/>
      <c r="Z784" s="65"/>
      <c r="AA784" s="65"/>
      <c r="AB784" s="65"/>
      <c r="AC784" s="65"/>
      <c r="AD784" s="65"/>
      <c r="AE784" s="65"/>
      <c r="AF784" s="65"/>
      <c r="AG784" s="43"/>
    </row>
    <row r="785" spans="1:33" s="17" customFormat="1" ht="19.5" customHeight="1">
      <c r="A785" s="23" t="s">
        <v>1280</v>
      </c>
      <c r="B785" s="103" t="s">
        <v>810</v>
      </c>
      <c r="C785" s="23" t="s">
        <v>104</v>
      </c>
      <c r="D785" s="23" t="s">
        <v>456</v>
      </c>
      <c r="E785" s="23" t="s">
        <v>809</v>
      </c>
      <c r="F785" s="23" t="s">
        <v>625</v>
      </c>
      <c r="G785" s="58">
        <v>14.4</v>
      </c>
      <c r="H785" s="58">
        <v>14.4</v>
      </c>
      <c r="I785" s="58">
        <v>0</v>
      </c>
      <c r="J785" s="77">
        <f t="shared" si="154"/>
        <v>0</v>
      </c>
      <c r="K785" s="51"/>
      <c r="L785" s="46"/>
      <c r="M785" s="89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43"/>
      <c r="Y785" s="43"/>
      <c r="Z785" s="65"/>
      <c r="AA785" s="65"/>
      <c r="AB785" s="65"/>
      <c r="AC785" s="65"/>
      <c r="AD785" s="65"/>
      <c r="AE785" s="65"/>
      <c r="AF785" s="65"/>
      <c r="AG785" s="65"/>
    </row>
    <row r="786" spans="1:33" s="16" customFormat="1" ht="30.75" customHeight="1">
      <c r="A786" s="23" t="s">
        <v>1281</v>
      </c>
      <c r="B786" s="102" t="s">
        <v>811</v>
      </c>
      <c r="C786" s="23" t="s">
        <v>104</v>
      </c>
      <c r="D786" s="23" t="s">
        <v>456</v>
      </c>
      <c r="E786" s="23" t="s">
        <v>809</v>
      </c>
      <c r="F786" s="23" t="s">
        <v>451</v>
      </c>
      <c r="G786" s="58">
        <v>14.4</v>
      </c>
      <c r="H786" s="58">
        <v>14.4</v>
      </c>
      <c r="I786" s="58">
        <v>0</v>
      </c>
      <c r="J786" s="77">
        <f t="shared" si="154"/>
        <v>0</v>
      </c>
      <c r="K786" s="49"/>
      <c r="L786" s="50"/>
      <c r="M786" s="72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43"/>
      <c r="Y786" s="43"/>
      <c r="Z786" s="75"/>
      <c r="AA786" s="75"/>
      <c r="AB786" s="75"/>
      <c r="AC786" s="75"/>
      <c r="AD786" s="75"/>
      <c r="AE786" s="75"/>
      <c r="AF786" s="75"/>
      <c r="AG786" s="75"/>
    </row>
    <row r="787" spans="1:33" s="16" customFormat="1" ht="21" customHeight="1">
      <c r="A787" s="23" t="s">
        <v>1282</v>
      </c>
      <c r="B787" s="25" t="s">
        <v>198</v>
      </c>
      <c r="C787" s="23" t="s">
        <v>104</v>
      </c>
      <c r="D787" s="23" t="s">
        <v>456</v>
      </c>
      <c r="E787" s="23" t="s">
        <v>809</v>
      </c>
      <c r="F787" s="23" t="s">
        <v>201</v>
      </c>
      <c r="G787" s="58">
        <f>G788</f>
        <v>14.4</v>
      </c>
      <c r="H787" s="58">
        <f>H788</f>
        <v>14.4</v>
      </c>
      <c r="I787" s="58">
        <f>I788</f>
        <v>0</v>
      </c>
      <c r="J787" s="77">
        <f t="shared" si="154"/>
        <v>0</v>
      </c>
      <c r="K787" s="49"/>
      <c r="L787" s="50"/>
      <c r="M787" s="72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43"/>
      <c r="Y787" s="43"/>
      <c r="Z787" s="75"/>
      <c r="AA787" s="75"/>
      <c r="AB787" s="75"/>
      <c r="AC787" s="75"/>
      <c r="AD787" s="75"/>
      <c r="AE787" s="75"/>
      <c r="AF787" s="75"/>
      <c r="AG787" s="75"/>
    </row>
    <row r="788" spans="1:33" s="16" customFormat="1" ht="43.5" customHeight="1">
      <c r="A788" s="23" t="s">
        <v>1283</v>
      </c>
      <c r="B788" s="102" t="s">
        <v>812</v>
      </c>
      <c r="C788" s="23" t="s">
        <v>104</v>
      </c>
      <c r="D788" s="23" t="s">
        <v>456</v>
      </c>
      <c r="E788" s="23" t="s">
        <v>809</v>
      </c>
      <c r="F788" s="23" t="s">
        <v>262</v>
      </c>
      <c r="G788" s="58">
        <v>14.4</v>
      </c>
      <c r="H788" s="58">
        <v>14.4</v>
      </c>
      <c r="I788" s="58">
        <v>0</v>
      </c>
      <c r="J788" s="77">
        <f t="shared" si="154"/>
        <v>0</v>
      </c>
      <c r="K788" s="49"/>
      <c r="L788" s="50"/>
      <c r="M788" s="72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43"/>
      <c r="Y788" s="43"/>
      <c r="Z788" s="75"/>
      <c r="AA788" s="75"/>
      <c r="AB788" s="75"/>
      <c r="AC788" s="75"/>
      <c r="AD788" s="75"/>
      <c r="AE788" s="75"/>
      <c r="AF788" s="75"/>
      <c r="AG788" s="75"/>
    </row>
    <row r="789" spans="1:33" s="16" customFormat="1" ht="164.25" customHeight="1">
      <c r="A789" s="23" t="s">
        <v>1284</v>
      </c>
      <c r="B789" s="25" t="s">
        <v>1321</v>
      </c>
      <c r="C789" s="23" t="s">
        <v>104</v>
      </c>
      <c r="D789" s="23" t="s">
        <v>456</v>
      </c>
      <c r="E789" s="23" t="s">
        <v>1320</v>
      </c>
      <c r="F789" s="23"/>
      <c r="G789" s="58">
        <f aca="true" t="shared" si="158" ref="G789:I790">G790</f>
        <v>0</v>
      </c>
      <c r="H789" s="58">
        <f t="shared" si="158"/>
        <v>6.1</v>
      </c>
      <c r="I789" s="58">
        <f t="shared" si="158"/>
        <v>6.1</v>
      </c>
      <c r="J789" s="77">
        <f t="shared" si="154"/>
        <v>100</v>
      </c>
      <c r="K789" s="49"/>
      <c r="L789" s="50"/>
      <c r="M789" s="72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43"/>
      <c r="Y789" s="43"/>
      <c r="Z789" s="75"/>
      <c r="AA789" s="75"/>
      <c r="AB789" s="75"/>
      <c r="AC789" s="75"/>
      <c r="AD789" s="75"/>
      <c r="AE789" s="75"/>
      <c r="AF789" s="75"/>
      <c r="AG789" s="75"/>
    </row>
    <row r="790" spans="1:33" s="16" customFormat="1" ht="27" customHeight="1">
      <c r="A790" s="23" t="s">
        <v>1285</v>
      </c>
      <c r="B790" s="25" t="s">
        <v>198</v>
      </c>
      <c r="C790" s="23" t="s">
        <v>104</v>
      </c>
      <c r="D790" s="23" t="s">
        <v>456</v>
      </c>
      <c r="E790" s="23" t="s">
        <v>1320</v>
      </c>
      <c r="F790" s="23" t="s">
        <v>201</v>
      </c>
      <c r="G790" s="58">
        <f t="shared" si="158"/>
        <v>0</v>
      </c>
      <c r="H790" s="58">
        <f t="shared" si="158"/>
        <v>6.1</v>
      </c>
      <c r="I790" s="58">
        <f t="shared" si="158"/>
        <v>6.1</v>
      </c>
      <c r="J790" s="77">
        <f t="shared" si="154"/>
        <v>100</v>
      </c>
      <c r="K790" s="49"/>
      <c r="L790" s="50"/>
      <c r="M790" s="72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43"/>
      <c r="Y790" s="43"/>
      <c r="Z790" s="75"/>
      <c r="AA790" s="75"/>
      <c r="AB790" s="75"/>
      <c r="AC790" s="75"/>
      <c r="AD790" s="75"/>
      <c r="AE790" s="75"/>
      <c r="AF790" s="75"/>
      <c r="AG790" s="75"/>
    </row>
    <row r="791" spans="1:33" s="16" customFormat="1" ht="29.25" customHeight="1">
      <c r="A791" s="23" t="s">
        <v>1286</v>
      </c>
      <c r="B791" s="25" t="s">
        <v>199</v>
      </c>
      <c r="C791" s="23" t="s">
        <v>104</v>
      </c>
      <c r="D791" s="23" t="s">
        <v>456</v>
      </c>
      <c r="E791" s="23" t="s">
        <v>1320</v>
      </c>
      <c r="F791" s="23" t="s">
        <v>202</v>
      </c>
      <c r="G791" s="58">
        <v>0</v>
      </c>
      <c r="H791" s="58">
        <v>6.1</v>
      </c>
      <c r="I791" s="58">
        <v>6.1</v>
      </c>
      <c r="J791" s="77">
        <f t="shared" si="154"/>
        <v>100</v>
      </c>
      <c r="K791" s="49"/>
      <c r="L791" s="50"/>
      <c r="M791" s="72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43"/>
      <c r="Y791" s="43"/>
      <c r="Z791" s="75"/>
      <c r="AA791" s="75"/>
      <c r="AB791" s="75"/>
      <c r="AC791" s="75"/>
      <c r="AD791" s="75"/>
      <c r="AE791" s="75">
        <v>6.1</v>
      </c>
      <c r="AF791" s="75"/>
      <c r="AG791" s="75"/>
    </row>
    <row r="792" spans="1:33" s="16" customFormat="1" ht="20.25" customHeight="1">
      <c r="A792" s="23" t="s">
        <v>1287</v>
      </c>
      <c r="B792" s="35" t="s">
        <v>77</v>
      </c>
      <c r="C792" s="36" t="s">
        <v>104</v>
      </c>
      <c r="D792" s="36" t="s">
        <v>78</v>
      </c>
      <c r="E792" s="36" t="s">
        <v>160</v>
      </c>
      <c r="F792" s="36" t="s">
        <v>160</v>
      </c>
      <c r="G792" s="78">
        <f aca="true" t="shared" si="159" ref="G792:I793">G793</f>
        <v>3200.1000000000004</v>
      </c>
      <c r="H792" s="78">
        <f t="shared" si="159"/>
        <v>60</v>
      </c>
      <c r="I792" s="78">
        <f t="shared" si="159"/>
        <v>60</v>
      </c>
      <c r="J792" s="77">
        <f t="shared" si="154"/>
        <v>100</v>
      </c>
      <c r="K792" s="49">
        <v>1401.7</v>
      </c>
      <c r="L792" s="50"/>
      <c r="M792" s="72"/>
      <c r="N792" s="75"/>
      <c r="O792" s="75"/>
      <c r="P792" s="75"/>
      <c r="Q792" s="75"/>
      <c r="R792" s="75"/>
      <c r="S792" s="75"/>
      <c r="T792" s="75">
        <v>1744.1</v>
      </c>
      <c r="U792" s="75"/>
      <c r="V792" s="75"/>
      <c r="W792" s="75"/>
      <c r="X792" s="75"/>
      <c r="Y792" s="75"/>
      <c r="Z792" s="75"/>
      <c r="AA792" s="75"/>
      <c r="AB792" s="75"/>
      <c r="AC792" s="75"/>
      <c r="AD792" s="75"/>
      <c r="AE792" s="75"/>
      <c r="AF792" s="75"/>
      <c r="AG792" s="75"/>
    </row>
    <row r="793" spans="1:33" s="16" customFormat="1" ht="31.5" customHeight="1">
      <c r="A793" s="23" t="s">
        <v>1288</v>
      </c>
      <c r="B793" s="24" t="s">
        <v>268</v>
      </c>
      <c r="C793" s="23" t="s">
        <v>104</v>
      </c>
      <c r="D793" s="23" t="s">
        <v>78</v>
      </c>
      <c r="E793" s="23" t="s">
        <v>356</v>
      </c>
      <c r="F793" s="23"/>
      <c r="G793" s="54">
        <f>G794</f>
        <v>3200.1000000000004</v>
      </c>
      <c r="H793" s="54">
        <f>H794</f>
        <v>60</v>
      </c>
      <c r="I793" s="54">
        <f t="shared" si="159"/>
        <v>60</v>
      </c>
      <c r="J793" s="77">
        <f t="shared" si="154"/>
        <v>100</v>
      </c>
      <c r="K793" s="49"/>
      <c r="L793" s="50"/>
      <c r="M793" s="72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  <c r="AA793" s="75"/>
      <c r="AB793" s="75"/>
      <c r="AC793" s="75"/>
      <c r="AD793" s="75"/>
      <c r="AE793" s="75"/>
      <c r="AF793" s="75"/>
      <c r="AG793" s="75"/>
    </row>
    <row r="794" spans="1:33" s="16" customFormat="1" ht="25.5">
      <c r="A794" s="23" t="s">
        <v>1289</v>
      </c>
      <c r="B794" s="24" t="s">
        <v>269</v>
      </c>
      <c r="C794" s="23" t="s">
        <v>104</v>
      </c>
      <c r="D794" s="23" t="s">
        <v>78</v>
      </c>
      <c r="E794" s="23" t="s">
        <v>357</v>
      </c>
      <c r="F794" s="23"/>
      <c r="G794" s="54">
        <f>G795+G802+G805</f>
        <v>3200.1000000000004</v>
      </c>
      <c r="H794" s="54">
        <f>H795+H802+H805</f>
        <v>60</v>
      </c>
      <c r="I794" s="54">
        <f>I795+I802+I805</f>
        <v>60</v>
      </c>
      <c r="J794" s="77">
        <f t="shared" si="154"/>
        <v>100</v>
      </c>
      <c r="K794" s="49"/>
      <c r="L794" s="50"/>
      <c r="M794" s="72">
        <v>-309.5</v>
      </c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  <c r="AA794" s="75"/>
      <c r="AB794" s="75"/>
      <c r="AC794" s="75"/>
      <c r="AD794" s="75"/>
      <c r="AE794" s="75"/>
      <c r="AF794" s="75"/>
      <c r="AG794" s="75"/>
    </row>
    <row r="795" spans="1:33" s="16" customFormat="1" ht="57" customHeight="1">
      <c r="A795" s="23" t="s">
        <v>1290</v>
      </c>
      <c r="B795" s="25" t="s">
        <v>405</v>
      </c>
      <c r="C795" s="23" t="s">
        <v>104</v>
      </c>
      <c r="D795" s="23" t="s">
        <v>78</v>
      </c>
      <c r="E795" s="23" t="s">
        <v>458</v>
      </c>
      <c r="F795" s="23"/>
      <c r="G795" s="58">
        <f>SUM(G796+G798+G800)</f>
        <v>2616.9</v>
      </c>
      <c r="H795" s="58">
        <f>SUM(H796+H798+H800)</f>
        <v>0</v>
      </c>
      <c r="I795" s="58">
        <f>SUM(I796+I798+I800)</f>
        <v>0</v>
      </c>
      <c r="J795" s="77">
        <v>0</v>
      </c>
      <c r="K795" s="49"/>
      <c r="L795" s="50"/>
      <c r="M795" s="72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  <c r="AA795" s="75">
        <v>1818.4</v>
      </c>
      <c r="AB795" s="75"/>
      <c r="AC795" s="75">
        <v>2616.9</v>
      </c>
      <c r="AD795" s="75"/>
      <c r="AE795" s="75"/>
      <c r="AF795" s="75"/>
      <c r="AG795" s="75"/>
    </row>
    <row r="796" spans="1:33" s="16" customFormat="1" ht="32.25" customHeight="1">
      <c r="A796" s="23" t="s">
        <v>1291</v>
      </c>
      <c r="B796" s="22" t="s">
        <v>144</v>
      </c>
      <c r="C796" s="23" t="s">
        <v>104</v>
      </c>
      <c r="D796" s="23" t="s">
        <v>78</v>
      </c>
      <c r="E796" s="23" t="s">
        <v>458</v>
      </c>
      <c r="F796" s="23" t="s">
        <v>109</v>
      </c>
      <c r="G796" s="58">
        <f>SUM(G797)</f>
        <v>1424.7</v>
      </c>
      <c r="H796" s="58">
        <f>SUM(H797)</f>
        <v>0</v>
      </c>
      <c r="I796" s="58">
        <f>SUM(I797)</f>
        <v>0</v>
      </c>
      <c r="J796" s="77">
        <v>0</v>
      </c>
      <c r="K796" s="49"/>
      <c r="L796" s="50"/>
      <c r="M796" s="72">
        <v>-305.3</v>
      </c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>
        <v>56.1</v>
      </c>
      <c r="Z796" s="75"/>
      <c r="AA796" s="75"/>
      <c r="AB796" s="75"/>
      <c r="AC796" s="75"/>
      <c r="AD796" s="75"/>
      <c r="AE796" s="75"/>
      <c r="AF796" s="75"/>
      <c r="AG796" s="75"/>
    </row>
    <row r="797" spans="1:33" s="16" customFormat="1" ht="33.75" customHeight="1">
      <c r="A797" s="23" t="s">
        <v>1292</v>
      </c>
      <c r="B797" s="22" t="s">
        <v>145</v>
      </c>
      <c r="C797" s="23" t="s">
        <v>104</v>
      </c>
      <c r="D797" s="23" t="s">
        <v>78</v>
      </c>
      <c r="E797" s="23" t="s">
        <v>458</v>
      </c>
      <c r="F797" s="23" t="s">
        <v>102</v>
      </c>
      <c r="G797" s="58">
        <v>1424.7</v>
      </c>
      <c r="H797" s="58">
        <v>0</v>
      </c>
      <c r="I797" s="58">
        <v>0</v>
      </c>
      <c r="J797" s="77">
        <v>0</v>
      </c>
      <c r="K797" s="49"/>
      <c r="L797" s="50"/>
      <c r="M797" s="72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  <c r="AA797" s="75"/>
      <c r="AB797" s="75"/>
      <c r="AC797" s="75"/>
      <c r="AD797" s="75">
        <v>-1424.7</v>
      </c>
      <c r="AE797" s="75"/>
      <c r="AF797" s="75"/>
      <c r="AG797" s="75"/>
    </row>
    <row r="798" spans="1:33" s="16" customFormat="1" ht="23.25" customHeight="1">
      <c r="A798" s="23" t="s">
        <v>1293</v>
      </c>
      <c r="B798" s="22" t="s">
        <v>87</v>
      </c>
      <c r="C798" s="23" t="s">
        <v>104</v>
      </c>
      <c r="D798" s="23" t="s">
        <v>78</v>
      </c>
      <c r="E798" s="23" t="s">
        <v>458</v>
      </c>
      <c r="F798" s="23" t="s">
        <v>88</v>
      </c>
      <c r="G798" s="58">
        <f>SUM(G799)</f>
        <v>158</v>
      </c>
      <c r="H798" s="58">
        <f>SUM(H799)</f>
        <v>0</v>
      </c>
      <c r="I798" s="58">
        <f>SUM(I799)</f>
        <v>0</v>
      </c>
      <c r="J798" s="77">
        <v>0</v>
      </c>
      <c r="K798" s="49"/>
      <c r="L798" s="50"/>
      <c r="M798" s="72">
        <v>614.8</v>
      </c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>
        <v>-50.1</v>
      </c>
      <c r="Z798" s="75"/>
      <c r="AA798" s="75"/>
      <c r="AB798" s="75"/>
      <c r="AC798" s="75"/>
      <c r="AD798" s="75"/>
      <c r="AE798" s="75"/>
      <c r="AF798" s="75"/>
      <c r="AG798" s="75"/>
    </row>
    <row r="799" spans="1:33" s="16" customFormat="1" ht="31.5" customHeight="1">
      <c r="A799" s="23" t="s">
        <v>1294</v>
      </c>
      <c r="B799" s="22" t="s">
        <v>248</v>
      </c>
      <c r="C799" s="23" t="s">
        <v>104</v>
      </c>
      <c r="D799" s="23" t="s">
        <v>78</v>
      </c>
      <c r="E799" s="23" t="s">
        <v>458</v>
      </c>
      <c r="F799" s="23" t="s">
        <v>249</v>
      </c>
      <c r="G799" s="58">
        <v>158</v>
      </c>
      <c r="H799" s="58">
        <v>0</v>
      </c>
      <c r="I799" s="58">
        <v>0</v>
      </c>
      <c r="J799" s="77">
        <v>0</v>
      </c>
      <c r="K799" s="49"/>
      <c r="L799" s="50"/>
      <c r="M799" s="72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  <c r="AA799" s="75"/>
      <c r="AB799" s="75"/>
      <c r="AC799" s="75"/>
      <c r="AD799" s="75">
        <v>-158</v>
      </c>
      <c r="AE799" s="75"/>
      <c r="AF799" s="75"/>
      <c r="AG799" s="75"/>
    </row>
    <row r="800" spans="1:33" s="16" customFormat="1" ht="28.5" customHeight="1">
      <c r="A800" s="23" t="s">
        <v>1295</v>
      </c>
      <c r="B800" s="22" t="s">
        <v>270</v>
      </c>
      <c r="C800" s="23" t="s">
        <v>104</v>
      </c>
      <c r="D800" s="23" t="s">
        <v>78</v>
      </c>
      <c r="E800" s="23" t="s">
        <v>458</v>
      </c>
      <c r="F800" s="23" t="s">
        <v>163</v>
      </c>
      <c r="G800" s="58">
        <f>SUM(G801)</f>
        <v>1034.2</v>
      </c>
      <c r="H800" s="58">
        <f>SUM(H801)</f>
        <v>0</v>
      </c>
      <c r="I800" s="58">
        <f>SUM(I801)</f>
        <v>0</v>
      </c>
      <c r="J800" s="77">
        <v>0</v>
      </c>
      <c r="K800" s="49"/>
      <c r="L800" s="50"/>
      <c r="M800" s="72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  <c r="AA800" s="75"/>
      <c r="AB800" s="75"/>
      <c r="AC800" s="75"/>
      <c r="AD800" s="75"/>
      <c r="AE800" s="75"/>
      <c r="AF800" s="75"/>
      <c r="AG800" s="75"/>
    </row>
    <row r="801" spans="1:33" s="16" customFormat="1" ht="24" customHeight="1">
      <c r="A801" s="23" t="s">
        <v>1296</v>
      </c>
      <c r="B801" s="22" t="s">
        <v>165</v>
      </c>
      <c r="C801" s="23" t="s">
        <v>104</v>
      </c>
      <c r="D801" s="23" t="s">
        <v>78</v>
      </c>
      <c r="E801" s="23" t="s">
        <v>458</v>
      </c>
      <c r="F801" s="23" t="s">
        <v>164</v>
      </c>
      <c r="G801" s="58">
        <v>1034.2</v>
      </c>
      <c r="H801" s="58">
        <v>0</v>
      </c>
      <c r="I801" s="58">
        <v>0</v>
      </c>
      <c r="J801" s="77">
        <v>0</v>
      </c>
      <c r="K801" s="49"/>
      <c r="L801" s="50"/>
      <c r="M801" s="72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>
        <v>15</v>
      </c>
      <c r="Y801" s="75"/>
      <c r="Z801" s="75"/>
      <c r="AA801" s="75"/>
      <c r="AB801" s="75"/>
      <c r="AC801" s="75"/>
      <c r="AD801" s="75">
        <v>-1034.2</v>
      </c>
      <c r="AE801" s="75"/>
      <c r="AF801" s="75"/>
      <c r="AG801" s="75"/>
    </row>
    <row r="802" spans="1:33" s="16" customFormat="1" ht="84.75" customHeight="1">
      <c r="A802" s="23" t="s">
        <v>1297</v>
      </c>
      <c r="B802" s="25" t="s">
        <v>634</v>
      </c>
      <c r="C802" s="23" t="s">
        <v>104</v>
      </c>
      <c r="D802" s="23" t="s">
        <v>78</v>
      </c>
      <c r="E802" s="23" t="s">
        <v>790</v>
      </c>
      <c r="F802" s="23"/>
      <c r="G802" s="58">
        <f aca="true" t="shared" si="160" ref="G802:I803">SUM(G803)</f>
        <v>60</v>
      </c>
      <c r="H802" s="58">
        <f t="shared" si="160"/>
        <v>60</v>
      </c>
      <c r="I802" s="58">
        <f t="shared" si="160"/>
        <v>60</v>
      </c>
      <c r="J802" s="77">
        <f t="shared" si="154"/>
        <v>100</v>
      </c>
      <c r="K802" s="49"/>
      <c r="L802" s="50"/>
      <c r="M802" s="72"/>
      <c r="N802" s="75"/>
      <c r="O802" s="75"/>
      <c r="P802" s="75"/>
      <c r="Q802" s="75"/>
      <c r="R802" s="75"/>
      <c r="S802" s="75"/>
      <c r="T802" s="75"/>
      <c r="U802" s="75">
        <v>523.2</v>
      </c>
      <c r="V802" s="75"/>
      <c r="W802" s="75"/>
      <c r="X802" s="75"/>
      <c r="Y802" s="75"/>
      <c r="Z802" s="75"/>
      <c r="AA802" s="75"/>
      <c r="AB802" s="75"/>
      <c r="AC802" s="75"/>
      <c r="AD802" s="75"/>
      <c r="AE802" s="75"/>
      <c r="AF802" s="75"/>
      <c r="AG802" s="75"/>
    </row>
    <row r="803" spans="1:33" s="16" customFormat="1" ht="31.5" customHeight="1">
      <c r="A803" s="23" t="s">
        <v>1298</v>
      </c>
      <c r="B803" s="22" t="s">
        <v>144</v>
      </c>
      <c r="C803" s="23" t="s">
        <v>104</v>
      </c>
      <c r="D803" s="23" t="s">
        <v>78</v>
      </c>
      <c r="E803" s="23" t="s">
        <v>790</v>
      </c>
      <c r="F803" s="23" t="s">
        <v>109</v>
      </c>
      <c r="G803" s="58">
        <f>SUM(G804)</f>
        <v>60</v>
      </c>
      <c r="H803" s="58">
        <f>SUM(H804)</f>
        <v>60</v>
      </c>
      <c r="I803" s="58">
        <f t="shared" si="160"/>
        <v>60</v>
      </c>
      <c r="J803" s="77">
        <f t="shared" si="154"/>
        <v>100</v>
      </c>
      <c r="K803" s="49"/>
      <c r="L803" s="50"/>
      <c r="M803" s="72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  <c r="AA803" s="75"/>
      <c r="AB803" s="75"/>
      <c r="AC803" s="75"/>
      <c r="AD803" s="75"/>
      <c r="AE803" s="75"/>
      <c r="AF803" s="75"/>
      <c r="AG803" s="75"/>
    </row>
    <row r="804" spans="1:33" s="16" customFormat="1" ht="33" customHeight="1">
      <c r="A804" s="23" t="s">
        <v>1299</v>
      </c>
      <c r="B804" s="22" t="s">
        <v>145</v>
      </c>
      <c r="C804" s="23" t="s">
        <v>104</v>
      </c>
      <c r="D804" s="23" t="s">
        <v>78</v>
      </c>
      <c r="E804" s="23" t="s">
        <v>790</v>
      </c>
      <c r="F804" s="23" t="s">
        <v>102</v>
      </c>
      <c r="G804" s="58">
        <v>60</v>
      </c>
      <c r="H804" s="58">
        <v>60</v>
      </c>
      <c r="I804" s="58">
        <v>60</v>
      </c>
      <c r="J804" s="77">
        <f t="shared" si="154"/>
        <v>100</v>
      </c>
      <c r="K804" s="49"/>
      <c r="L804" s="50"/>
      <c r="M804" s="72"/>
      <c r="N804" s="75">
        <f>253.2+66.8</f>
        <v>320</v>
      </c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>
        <v>60</v>
      </c>
      <c r="AA804" s="75"/>
      <c r="AB804" s="75">
        <v>60</v>
      </c>
      <c r="AC804" s="75"/>
      <c r="AD804" s="75"/>
      <c r="AE804" s="75"/>
      <c r="AF804" s="75"/>
      <c r="AG804" s="75"/>
    </row>
    <row r="805" spans="1:33" s="16" customFormat="1" ht="63.75">
      <c r="A805" s="23" t="s">
        <v>1300</v>
      </c>
      <c r="B805" s="25" t="s">
        <v>644</v>
      </c>
      <c r="C805" s="23" t="s">
        <v>104</v>
      </c>
      <c r="D805" s="23" t="s">
        <v>78</v>
      </c>
      <c r="E805" s="23" t="s">
        <v>564</v>
      </c>
      <c r="F805" s="23"/>
      <c r="G805" s="58">
        <f>SUM(G806+G808)</f>
        <v>523.2</v>
      </c>
      <c r="H805" s="58">
        <f>SUM(H806+H808)</f>
        <v>0</v>
      </c>
      <c r="I805" s="58">
        <f>SUM(I806+I808)</f>
        <v>0</v>
      </c>
      <c r="J805" s="77">
        <v>0</v>
      </c>
      <c r="K805" s="49"/>
      <c r="L805" s="50"/>
      <c r="M805" s="72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>
        <v>523.2</v>
      </c>
      <c r="AA805" s="75"/>
      <c r="AB805" s="75">
        <v>523.2</v>
      </c>
      <c r="AC805" s="75"/>
      <c r="AD805" s="75"/>
      <c r="AE805" s="75"/>
      <c r="AF805" s="75"/>
      <c r="AG805" s="75"/>
    </row>
    <row r="806" spans="1:33" s="16" customFormat="1" ht="30" customHeight="1">
      <c r="A806" s="23" t="s">
        <v>1301</v>
      </c>
      <c r="B806" s="22" t="s">
        <v>144</v>
      </c>
      <c r="C806" s="23" t="s">
        <v>104</v>
      </c>
      <c r="D806" s="23" t="s">
        <v>78</v>
      </c>
      <c r="E806" s="23" t="s">
        <v>564</v>
      </c>
      <c r="F806" s="23" t="s">
        <v>109</v>
      </c>
      <c r="G806" s="58">
        <f>SUM(G807)</f>
        <v>417</v>
      </c>
      <c r="H806" s="58">
        <f>SUM(H807)</f>
        <v>0</v>
      </c>
      <c r="I806" s="58">
        <f>SUM(I807)</f>
        <v>0</v>
      </c>
      <c r="J806" s="77">
        <v>0</v>
      </c>
      <c r="K806" s="49"/>
      <c r="L806" s="50"/>
      <c r="M806" s="72"/>
      <c r="N806" s="75">
        <v>22.5</v>
      </c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  <c r="AA806" s="75"/>
      <c r="AB806" s="75"/>
      <c r="AC806" s="75"/>
      <c r="AD806" s="75"/>
      <c r="AE806" s="75"/>
      <c r="AF806" s="75"/>
      <c r="AG806" s="75"/>
    </row>
    <row r="807" spans="1:33" s="3" customFormat="1" ht="31.5" customHeight="1">
      <c r="A807" s="23" t="s">
        <v>1302</v>
      </c>
      <c r="B807" s="22" t="s">
        <v>145</v>
      </c>
      <c r="C807" s="23" t="s">
        <v>104</v>
      </c>
      <c r="D807" s="23" t="s">
        <v>78</v>
      </c>
      <c r="E807" s="23" t="s">
        <v>564</v>
      </c>
      <c r="F807" s="23" t="s">
        <v>102</v>
      </c>
      <c r="G807" s="58">
        <v>417</v>
      </c>
      <c r="H807" s="58">
        <f>417-417</f>
        <v>0</v>
      </c>
      <c r="I807" s="58">
        <v>0</v>
      </c>
      <c r="J807" s="77">
        <v>0</v>
      </c>
      <c r="K807" s="49"/>
      <c r="L807" s="50"/>
      <c r="M807" s="72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  <c r="AA807" s="75"/>
      <c r="AB807" s="75"/>
      <c r="AC807" s="75"/>
      <c r="AD807" s="75"/>
      <c r="AE807" s="75">
        <v>-417</v>
      </c>
      <c r="AF807" s="75"/>
      <c r="AG807" s="75"/>
    </row>
    <row r="808" spans="1:33" s="7" customFormat="1" ht="21" customHeight="1">
      <c r="A808" s="23" t="s">
        <v>201</v>
      </c>
      <c r="B808" s="22" t="s">
        <v>87</v>
      </c>
      <c r="C808" s="23" t="s">
        <v>104</v>
      </c>
      <c r="D808" s="23" t="s">
        <v>78</v>
      </c>
      <c r="E808" s="23" t="s">
        <v>564</v>
      </c>
      <c r="F808" s="23" t="s">
        <v>88</v>
      </c>
      <c r="G808" s="58">
        <f>SUM(G809)</f>
        <v>106.2</v>
      </c>
      <c r="H808" s="58">
        <f>SUM(H809)</f>
        <v>0</v>
      </c>
      <c r="I808" s="58">
        <f>SUM(I809)</f>
        <v>0</v>
      </c>
      <c r="J808" s="77">
        <v>0</v>
      </c>
      <c r="K808" s="51"/>
      <c r="L808" s="46"/>
      <c r="M808" s="74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  <c r="AA808" s="65"/>
      <c r="AB808" s="65"/>
      <c r="AC808" s="65"/>
      <c r="AD808" s="65"/>
      <c r="AE808" s="65"/>
      <c r="AF808" s="65"/>
      <c r="AG808" s="65"/>
    </row>
    <row r="809" spans="1:33" s="17" customFormat="1" ht="30" customHeight="1">
      <c r="A809" s="23" t="s">
        <v>1303</v>
      </c>
      <c r="B809" s="22" t="s">
        <v>248</v>
      </c>
      <c r="C809" s="23" t="s">
        <v>104</v>
      </c>
      <c r="D809" s="23" t="s">
        <v>78</v>
      </c>
      <c r="E809" s="23" t="s">
        <v>564</v>
      </c>
      <c r="F809" s="23" t="s">
        <v>249</v>
      </c>
      <c r="G809" s="58">
        <v>106.2</v>
      </c>
      <c r="H809" s="58">
        <f>106.2-106.2</f>
        <v>0</v>
      </c>
      <c r="I809" s="58">
        <v>0</v>
      </c>
      <c r="J809" s="77">
        <v>0</v>
      </c>
      <c r="K809" s="51"/>
      <c r="L809" s="46"/>
      <c r="M809" s="74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43"/>
      <c r="AA809" s="65"/>
      <c r="AB809" s="43"/>
      <c r="AC809" s="65"/>
      <c r="AD809" s="65"/>
      <c r="AE809" s="43">
        <v>-106.2</v>
      </c>
      <c r="AF809" s="65"/>
      <c r="AG809" s="65"/>
    </row>
    <row r="810" spans="1:33" s="16" customFormat="1" ht="19.5" customHeight="1">
      <c r="A810" s="23" t="s">
        <v>1304</v>
      </c>
      <c r="B810" s="35" t="s">
        <v>80</v>
      </c>
      <c r="C810" s="36" t="s">
        <v>104</v>
      </c>
      <c r="D810" s="36" t="s">
        <v>79</v>
      </c>
      <c r="E810" s="36"/>
      <c r="F810" s="36"/>
      <c r="G810" s="78">
        <f>G811</f>
        <v>14464.400000000001</v>
      </c>
      <c r="H810" s="78">
        <f>H811</f>
        <v>17877.300000000003</v>
      </c>
      <c r="I810" s="78">
        <f>I811</f>
        <v>17757</v>
      </c>
      <c r="J810" s="77">
        <f t="shared" si="154"/>
        <v>99.32707959255592</v>
      </c>
      <c r="K810" s="49"/>
      <c r="L810" s="49">
        <v>20</v>
      </c>
      <c r="M810" s="72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  <c r="AA810" s="75"/>
      <c r="AB810" s="75"/>
      <c r="AC810" s="75"/>
      <c r="AD810" s="75"/>
      <c r="AE810" s="75"/>
      <c r="AF810" s="75"/>
      <c r="AG810" s="75"/>
    </row>
    <row r="811" spans="1:33" s="16" customFormat="1" ht="30" customHeight="1">
      <c r="A811" s="23" t="s">
        <v>1305</v>
      </c>
      <c r="B811" s="24" t="s">
        <v>268</v>
      </c>
      <c r="C811" s="23" t="s">
        <v>104</v>
      </c>
      <c r="D811" s="23" t="s">
        <v>79</v>
      </c>
      <c r="E811" s="23" t="s">
        <v>356</v>
      </c>
      <c r="F811" s="23"/>
      <c r="G811" s="54">
        <f>G812+G847+G857+G868</f>
        <v>14464.400000000001</v>
      </c>
      <c r="H811" s="54">
        <f>H812+H847+H857+H868</f>
        <v>17877.300000000003</v>
      </c>
      <c r="I811" s="54">
        <f>I812+I847+I857+I868</f>
        <v>17757</v>
      </c>
      <c r="J811" s="77">
        <f t="shared" si="154"/>
        <v>99.32707959255592</v>
      </c>
      <c r="K811" s="49"/>
      <c r="L811" s="50"/>
      <c r="M811" s="72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  <c r="AA811" s="75"/>
      <c r="AB811" s="75"/>
      <c r="AC811" s="75"/>
      <c r="AD811" s="75"/>
      <c r="AE811" s="75"/>
      <c r="AF811" s="75"/>
      <c r="AG811" s="75"/>
    </row>
    <row r="812" spans="1:33" s="16" customFormat="1" ht="25.5">
      <c r="A812" s="23" t="s">
        <v>1306</v>
      </c>
      <c r="B812" s="24" t="s">
        <v>269</v>
      </c>
      <c r="C812" s="23" t="s">
        <v>104</v>
      </c>
      <c r="D812" s="23" t="s">
        <v>79</v>
      </c>
      <c r="E812" s="23" t="s">
        <v>357</v>
      </c>
      <c r="F812" s="23"/>
      <c r="G812" s="54">
        <f>G823+G834+G839+G826+G831+G813+G842+G818</f>
        <v>435</v>
      </c>
      <c r="H812" s="54">
        <f>H823+H834+H839+H826+H831+H813+H842+H818</f>
        <v>3538.7999999999997</v>
      </c>
      <c r="I812" s="54">
        <f>I823+I834+I839+I826+I831+I813+I842+I818</f>
        <v>3441.9000000000005</v>
      </c>
      <c r="J812" s="77">
        <f t="shared" si="154"/>
        <v>97.26178365547645</v>
      </c>
      <c r="K812" s="49"/>
      <c r="L812" s="50"/>
      <c r="M812" s="72"/>
      <c r="N812" s="75"/>
      <c r="O812" s="75"/>
      <c r="P812" s="75"/>
      <c r="Q812" s="75"/>
      <c r="R812" s="75"/>
      <c r="S812" s="75"/>
      <c r="T812" s="75"/>
      <c r="U812" s="75">
        <v>20</v>
      </c>
      <c r="V812" s="75"/>
      <c r="W812" s="75"/>
      <c r="X812" s="75"/>
      <c r="Y812" s="75"/>
      <c r="Z812" s="75"/>
      <c r="AA812" s="75"/>
      <c r="AB812" s="75"/>
      <c r="AC812" s="75"/>
      <c r="AD812" s="75"/>
      <c r="AE812" s="75"/>
      <c r="AF812" s="75"/>
      <c r="AG812" s="75"/>
    </row>
    <row r="813" spans="1:33" s="16" customFormat="1" ht="94.5" customHeight="1">
      <c r="A813" s="23" t="s">
        <v>1307</v>
      </c>
      <c r="B813" s="118" t="s">
        <v>1209</v>
      </c>
      <c r="C813" s="23" t="s">
        <v>104</v>
      </c>
      <c r="D813" s="23" t="s">
        <v>79</v>
      </c>
      <c r="E813" s="23" t="s">
        <v>1210</v>
      </c>
      <c r="F813" s="23"/>
      <c r="G813" s="54">
        <f>G814+G816</f>
        <v>0</v>
      </c>
      <c r="H813" s="54">
        <f>H814+H816</f>
        <v>406.40000000000003</v>
      </c>
      <c r="I813" s="54">
        <f>I814+I816</f>
        <v>309.6</v>
      </c>
      <c r="J813" s="77">
        <f t="shared" si="154"/>
        <v>76.18110236220473</v>
      </c>
      <c r="K813" s="49"/>
      <c r="L813" s="50"/>
      <c r="M813" s="72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  <c r="AA813" s="75"/>
      <c r="AB813" s="75"/>
      <c r="AC813" s="75"/>
      <c r="AD813" s="75"/>
      <c r="AE813" s="75"/>
      <c r="AF813" s="75"/>
      <c r="AG813" s="75"/>
    </row>
    <row r="814" spans="1:33" s="16" customFormat="1" ht="32.25" customHeight="1">
      <c r="A814" s="23" t="s">
        <v>1308</v>
      </c>
      <c r="B814" s="22" t="s">
        <v>144</v>
      </c>
      <c r="C814" s="23" t="s">
        <v>104</v>
      </c>
      <c r="D814" s="23" t="s">
        <v>79</v>
      </c>
      <c r="E814" s="23" t="s">
        <v>1210</v>
      </c>
      <c r="F814" s="23" t="s">
        <v>109</v>
      </c>
      <c r="G814" s="54">
        <f aca="true" t="shared" si="161" ref="G814:I816">G815</f>
        <v>0</v>
      </c>
      <c r="H814" s="54">
        <f t="shared" si="161"/>
        <v>87.3</v>
      </c>
      <c r="I814" s="54">
        <f t="shared" si="161"/>
        <v>26.3</v>
      </c>
      <c r="J814" s="77">
        <f t="shared" si="154"/>
        <v>30.126002290950748</v>
      </c>
      <c r="K814" s="49"/>
      <c r="L814" s="50"/>
      <c r="M814" s="72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  <c r="AA814" s="75"/>
      <c r="AB814" s="75"/>
      <c r="AC814" s="75"/>
      <c r="AD814" s="75"/>
      <c r="AE814" s="75"/>
      <c r="AF814" s="75"/>
      <c r="AG814" s="75"/>
    </row>
    <row r="815" spans="1:33" s="16" customFormat="1" ht="30.75" customHeight="1">
      <c r="A815" s="23" t="s">
        <v>1311</v>
      </c>
      <c r="B815" s="22" t="s">
        <v>145</v>
      </c>
      <c r="C815" s="23" t="s">
        <v>104</v>
      </c>
      <c r="D815" s="23" t="s">
        <v>79</v>
      </c>
      <c r="E815" s="23" t="s">
        <v>1210</v>
      </c>
      <c r="F815" s="23" t="s">
        <v>102</v>
      </c>
      <c r="G815" s="54">
        <v>0</v>
      </c>
      <c r="H815" s="54">
        <v>87.3</v>
      </c>
      <c r="I815" s="54">
        <v>26.3</v>
      </c>
      <c r="J815" s="77">
        <f t="shared" si="154"/>
        <v>30.126002290950748</v>
      </c>
      <c r="K815" s="49"/>
      <c r="L815" s="50"/>
      <c r="M815" s="72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  <c r="AA815" s="75"/>
      <c r="AB815" s="75"/>
      <c r="AC815" s="75"/>
      <c r="AD815" s="75">
        <v>192.9</v>
      </c>
      <c r="AE815" s="75"/>
      <c r="AF815" s="75"/>
      <c r="AG815" s="75"/>
    </row>
    <row r="816" spans="1:33" s="16" customFormat="1" ht="33.75" customHeight="1">
      <c r="A816" s="23" t="s">
        <v>1312</v>
      </c>
      <c r="B816" s="22" t="s">
        <v>270</v>
      </c>
      <c r="C816" s="23" t="s">
        <v>104</v>
      </c>
      <c r="D816" s="23" t="s">
        <v>79</v>
      </c>
      <c r="E816" s="23" t="s">
        <v>1210</v>
      </c>
      <c r="F816" s="23" t="s">
        <v>163</v>
      </c>
      <c r="G816" s="54">
        <f t="shared" si="161"/>
        <v>0</v>
      </c>
      <c r="H816" s="54">
        <f t="shared" si="161"/>
        <v>319.1</v>
      </c>
      <c r="I816" s="54">
        <f t="shared" si="161"/>
        <v>283.3</v>
      </c>
      <c r="J816" s="77">
        <f t="shared" si="154"/>
        <v>88.78094641178313</v>
      </c>
      <c r="K816" s="49"/>
      <c r="L816" s="50"/>
      <c r="M816" s="72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  <c r="AA816" s="75"/>
      <c r="AB816" s="75"/>
      <c r="AC816" s="75"/>
      <c r="AD816" s="75"/>
      <c r="AE816" s="75"/>
      <c r="AF816" s="75"/>
      <c r="AG816" s="75"/>
    </row>
    <row r="817" spans="1:33" s="16" customFormat="1" ht="21.75" customHeight="1">
      <c r="A817" s="23" t="s">
        <v>1313</v>
      </c>
      <c r="B817" s="22" t="s">
        <v>165</v>
      </c>
      <c r="C817" s="23" t="s">
        <v>104</v>
      </c>
      <c r="D817" s="23" t="s">
        <v>79</v>
      </c>
      <c r="E817" s="23" t="s">
        <v>1210</v>
      </c>
      <c r="F817" s="23" t="s">
        <v>164</v>
      </c>
      <c r="G817" s="54">
        <v>0</v>
      </c>
      <c r="H817" s="54">
        <v>319.1</v>
      </c>
      <c r="I817" s="54">
        <v>283.3</v>
      </c>
      <c r="J817" s="77">
        <f t="shared" si="154"/>
        <v>88.78094641178313</v>
      </c>
      <c r="K817" s="49"/>
      <c r="L817" s="50"/>
      <c r="M817" s="72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  <c r="AA817" s="75"/>
      <c r="AB817" s="75"/>
      <c r="AC817" s="75"/>
      <c r="AD817" s="75">
        <v>319.1</v>
      </c>
      <c r="AE817" s="75"/>
      <c r="AF817" s="75"/>
      <c r="AG817" s="75"/>
    </row>
    <row r="818" spans="1:33" s="16" customFormat="1" ht="59.25" customHeight="1">
      <c r="A818" s="23" t="s">
        <v>262</v>
      </c>
      <c r="B818" s="25" t="s">
        <v>405</v>
      </c>
      <c r="C818" s="23" t="s">
        <v>104</v>
      </c>
      <c r="D818" s="23" t="s">
        <v>79</v>
      </c>
      <c r="E818" s="23" t="s">
        <v>458</v>
      </c>
      <c r="F818" s="23"/>
      <c r="G818" s="58">
        <f>SUM(G819+G821)</f>
        <v>0</v>
      </c>
      <c r="H818" s="58">
        <f>SUM(H819+H821)</f>
        <v>2369.7</v>
      </c>
      <c r="I818" s="58">
        <f>SUM(I819+I821)</f>
        <v>2369.6000000000004</v>
      </c>
      <c r="J818" s="77">
        <f t="shared" si="154"/>
        <v>99.99578005654726</v>
      </c>
      <c r="K818" s="49"/>
      <c r="L818" s="50"/>
      <c r="M818" s="72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  <c r="AA818" s="75"/>
      <c r="AB818" s="75"/>
      <c r="AC818" s="75"/>
      <c r="AD818" s="75"/>
      <c r="AE818" s="75"/>
      <c r="AF818" s="75"/>
      <c r="AG818" s="75"/>
    </row>
    <row r="819" spans="1:33" s="16" customFormat="1" ht="31.5" customHeight="1">
      <c r="A819" s="23" t="s">
        <v>1328</v>
      </c>
      <c r="B819" s="22" t="s">
        <v>144</v>
      </c>
      <c r="C819" s="23" t="s">
        <v>104</v>
      </c>
      <c r="D819" s="23" t="s">
        <v>79</v>
      </c>
      <c r="E819" s="23" t="s">
        <v>458</v>
      </c>
      <c r="F819" s="23" t="s">
        <v>109</v>
      </c>
      <c r="G819" s="58">
        <f>SUM(G820)</f>
        <v>0</v>
      </c>
      <c r="H819" s="58">
        <f>SUM(H820)</f>
        <v>1055.3</v>
      </c>
      <c r="I819" s="58">
        <f>SUM(I820)</f>
        <v>1055.2</v>
      </c>
      <c r="J819" s="77">
        <f t="shared" si="154"/>
        <v>99.99052402160524</v>
      </c>
      <c r="K819" s="49"/>
      <c r="L819" s="50"/>
      <c r="M819" s="72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  <c r="AA819" s="75"/>
      <c r="AB819" s="75"/>
      <c r="AC819" s="75"/>
      <c r="AD819" s="75"/>
      <c r="AE819" s="75"/>
      <c r="AF819" s="75"/>
      <c r="AG819" s="75"/>
    </row>
    <row r="820" spans="1:33" s="16" customFormat="1" ht="33" customHeight="1">
      <c r="A820" s="23" t="s">
        <v>1329</v>
      </c>
      <c r="B820" s="22" t="s">
        <v>145</v>
      </c>
      <c r="C820" s="23" t="s">
        <v>104</v>
      </c>
      <c r="D820" s="23" t="s">
        <v>79</v>
      </c>
      <c r="E820" s="23" t="s">
        <v>458</v>
      </c>
      <c r="F820" s="23" t="s">
        <v>102</v>
      </c>
      <c r="G820" s="58">
        <v>0</v>
      </c>
      <c r="H820" s="58">
        <f>1424.7-135.2-234.2</f>
        <v>1055.3</v>
      </c>
      <c r="I820" s="58">
        <v>1055.2</v>
      </c>
      <c r="J820" s="77">
        <f t="shared" si="154"/>
        <v>99.99052402160524</v>
      </c>
      <c r="K820" s="49"/>
      <c r="L820" s="50"/>
      <c r="M820" s="72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  <c r="AA820" s="75"/>
      <c r="AB820" s="75"/>
      <c r="AC820" s="75"/>
      <c r="AD820" s="75">
        <v>1424.7</v>
      </c>
      <c r="AE820" s="75"/>
      <c r="AF820" s="75"/>
      <c r="AG820" s="75">
        <f>-135.2-234.2</f>
        <v>-369.4</v>
      </c>
    </row>
    <row r="821" spans="1:33" s="16" customFormat="1" ht="27.75" customHeight="1">
      <c r="A821" s="23" t="s">
        <v>1330</v>
      </c>
      <c r="B821" s="22" t="s">
        <v>270</v>
      </c>
      <c r="C821" s="23" t="s">
        <v>104</v>
      </c>
      <c r="D821" s="23" t="s">
        <v>79</v>
      </c>
      <c r="E821" s="23" t="s">
        <v>458</v>
      </c>
      <c r="F821" s="23" t="s">
        <v>163</v>
      </c>
      <c r="G821" s="58">
        <f>SUM(G822)</f>
        <v>0</v>
      </c>
      <c r="H821" s="58">
        <f>SUM(H822)</f>
        <v>1314.4</v>
      </c>
      <c r="I821" s="58">
        <f>SUM(I822)</f>
        <v>1314.4</v>
      </c>
      <c r="J821" s="77">
        <f t="shared" si="154"/>
        <v>100</v>
      </c>
      <c r="K821" s="49"/>
      <c r="L821" s="50"/>
      <c r="M821" s="72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  <c r="AA821" s="75"/>
      <c r="AB821" s="75"/>
      <c r="AC821" s="75"/>
      <c r="AD821" s="75"/>
      <c r="AE821" s="75"/>
      <c r="AF821" s="75"/>
      <c r="AG821" s="75"/>
    </row>
    <row r="822" spans="1:33" s="16" customFormat="1" ht="21.75" customHeight="1">
      <c r="A822" s="23" t="s">
        <v>1331</v>
      </c>
      <c r="B822" s="22" t="s">
        <v>165</v>
      </c>
      <c r="C822" s="23" t="s">
        <v>104</v>
      </c>
      <c r="D822" s="23" t="s">
        <v>79</v>
      </c>
      <c r="E822" s="23" t="s">
        <v>458</v>
      </c>
      <c r="F822" s="23" t="s">
        <v>164</v>
      </c>
      <c r="G822" s="58">
        <v>0</v>
      </c>
      <c r="H822" s="58">
        <f>1034.2+24.4+258.5-2.7</f>
        <v>1314.4</v>
      </c>
      <c r="I822" s="58">
        <v>1314.4</v>
      </c>
      <c r="J822" s="77">
        <f t="shared" si="154"/>
        <v>100</v>
      </c>
      <c r="K822" s="49"/>
      <c r="L822" s="50"/>
      <c r="M822" s="72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  <c r="AA822" s="75"/>
      <c r="AB822" s="75"/>
      <c r="AC822" s="75"/>
      <c r="AD822" s="75">
        <f>1034.2+24.4</f>
        <v>1058.6000000000001</v>
      </c>
      <c r="AE822" s="75"/>
      <c r="AF822" s="75"/>
      <c r="AG822" s="75">
        <f>258.5-2.7</f>
        <v>255.8</v>
      </c>
    </row>
    <row r="823" spans="1:33" s="16" customFormat="1" ht="69" customHeight="1">
      <c r="A823" s="23" t="s">
        <v>1332</v>
      </c>
      <c r="B823" s="22" t="s">
        <v>504</v>
      </c>
      <c r="C823" s="23" t="s">
        <v>104</v>
      </c>
      <c r="D823" s="23" t="s">
        <v>79</v>
      </c>
      <c r="E823" s="23" t="s">
        <v>791</v>
      </c>
      <c r="F823" s="23"/>
      <c r="G823" s="54">
        <f aca="true" t="shared" si="162" ref="G823:I832">G824</f>
        <v>20</v>
      </c>
      <c r="H823" s="54">
        <f t="shared" si="162"/>
        <v>11</v>
      </c>
      <c r="I823" s="54">
        <f t="shared" si="162"/>
        <v>11</v>
      </c>
      <c r="J823" s="77">
        <f t="shared" si="154"/>
        <v>100</v>
      </c>
      <c r="K823" s="49"/>
      <c r="L823" s="49">
        <v>140</v>
      </c>
      <c r="M823" s="72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  <c r="AA823" s="75"/>
      <c r="AB823" s="75"/>
      <c r="AC823" s="75"/>
      <c r="AD823" s="75"/>
      <c r="AE823" s="75"/>
      <c r="AF823" s="75"/>
      <c r="AG823" s="75"/>
    </row>
    <row r="824" spans="1:33" s="16" customFormat="1" ht="33" customHeight="1">
      <c r="A824" s="23" t="s">
        <v>1333</v>
      </c>
      <c r="B824" s="22" t="s">
        <v>144</v>
      </c>
      <c r="C824" s="23" t="s">
        <v>104</v>
      </c>
      <c r="D824" s="23" t="s">
        <v>79</v>
      </c>
      <c r="E824" s="23" t="s">
        <v>791</v>
      </c>
      <c r="F824" s="23" t="s">
        <v>109</v>
      </c>
      <c r="G824" s="54">
        <f t="shared" si="162"/>
        <v>20</v>
      </c>
      <c r="H824" s="54">
        <f t="shared" si="162"/>
        <v>11</v>
      </c>
      <c r="I824" s="54">
        <f t="shared" si="162"/>
        <v>11</v>
      </c>
      <c r="J824" s="77">
        <f t="shared" si="154"/>
        <v>100</v>
      </c>
      <c r="K824" s="49"/>
      <c r="L824" s="50"/>
      <c r="M824" s="72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  <c r="AA824" s="75"/>
      <c r="AB824" s="75"/>
      <c r="AC824" s="75"/>
      <c r="AD824" s="75"/>
      <c r="AE824" s="75"/>
      <c r="AF824" s="75"/>
      <c r="AG824" s="75"/>
    </row>
    <row r="825" spans="1:33" s="16" customFormat="1" ht="36" customHeight="1">
      <c r="A825" s="23" t="s">
        <v>1334</v>
      </c>
      <c r="B825" s="22" t="s">
        <v>145</v>
      </c>
      <c r="C825" s="23" t="s">
        <v>104</v>
      </c>
      <c r="D825" s="23" t="s">
        <v>79</v>
      </c>
      <c r="E825" s="23" t="s">
        <v>791</v>
      </c>
      <c r="F825" s="23" t="s">
        <v>102</v>
      </c>
      <c r="G825" s="58">
        <v>20</v>
      </c>
      <c r="H825" s="58">
        <f>20-9</f>
        <v>11</v>
      </c>
      <c r="I825" s="58">
        <v>11</v>
      </c>
      <c r="J825" s="77">
        <f t="shared" si="154"/>
        <v>100</v>
      </c>
      <c r="K825" s="49"/>
      <c r="L825" s="50"/>
      <c r="M825" s="72"/>
      <c r="N825" s="75">
        <v>-40</v>
      </c>
      <c r="O825" s="75"/>
      <c r="P825" s="75"/>
      <c r="Q825" s="75"/>
      <c r="R825" s="75"/>
      <c r="S825" s="75"/>
      <c r="T825" s="75"/>
      <c r="U825" s="75">
        <v>140</v>
      </c>
      <c r="V825" s="75"/>
      <c r="W825" s="75"/>
      <c r="X825" s="75">
        <v>-50</v>
      </c>
      <c r="Y825" s="75"/>
      <c r="Z825" s="75">
        <v>20</v>
      </c>
      <c r="AA825" s="75"/>
      <c r="AB825" s="75">
        <v>20</v>
      </c>
      <c r="AC825" s="75"/>
      <c r="AD825" s="75"/>
      <c r="AE825" s="75"/>
      <c r="AF825" s="75">
        <v>-9</v>
      </c>
      <c r="AG825" s="75"/>
    </row>
    <row r="826" spans="1:33" s="16" customFormat="1" ht="108.75" customHeight="1">
      <c r="A826" s="23" t="s">
        <v>1337</v>
      </c>
      <c r="B826" s="22" t="s">
        <v>640</v>
      </c>
      <c r="C826" s="23" t="s">
        <v>104</v>
      </c>
      <c r="D826" s="23" t="s">
        <v>79</v>
      </c>
      <c r="E826" s="23" t="s">
        <v>792</v>
      </c>
      <c r="F826" s="23"/>
      <c r="G826" s="54">
        <f>G829+G827</f>
        <v>150</v>
      </c>
      <c r="H826" s="54">
        <f>H829+H827</f>
        <v>149.9</v>
      </c>
      <c r="I826" s="54">
        <f>I829+I827</f>
        <v>149.89999999999998</v>
      </c>
      <c r="J826" s="77">
        <f aca="true" t="shared" si="163" ref="J826:J889">I826/H826*100</f>
        <v>99.99999999999997</v>
      </c>
      <c r="K826" s="49"/>
      <c r="L826" s="49">
        <v>30</v>
      </c>
      <c r="M826" s="72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  <c r="AA826" s="75"/>
      <c r="AB826" s="75"/>
      <c r="AC826" s="75"/>
      <c r="AD826" s="75"/>
      <c r="AE826" s="75"/>
      <c r="AF826" s="75"/>
      <c r="AG826" s="75"/>
    </row>
    <row r="827" spans="1:33" s="16" customFormat="1" ht="63.75" customHeight="1">
      <c r="A827" s="23" t="s">
        <v>1338</v>
      </c>
      <c r="B827" s="25" t="s">
        <v>181</v>
      </c>
      <c r="C827" s="23" t="s">
        <v>104</v>
      </c>
      <c r="D827" s="23" t="s">
        <v>79</v>
      </c>
      <c r="E827" s="23" t="s">
        <v>792</v>
      </c>
      <c r="F827" s="23" t="s">
        <v>179</v>
      </c>
      <c r="G827" s="54">
        <f t="shared" si="162"/>
        <v>0</v>
      </c>
      <c r="H827" s="54">
        <f t="shared" si="162"/>
        <v>48.8</v>
      </c>
      <c r="I827" s="54">
        <f t="shared" si="162"/>
        <v>48.8</v>
      </c>
      <c r="J827" s="77">
        <f t="shared" si="163"/>
        <v>100</v>
      </c>
      <c r="K827" s="49"/>
      <c r="L827" s="49"/>
      <c r="M827" s="72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  <c r="AA827" s="75"/>
      <c r="AB827" s="75"/>
      <c r="AC827" s="75"/>
      <c r="AD827" s="75"/>
      <c r="AE827" s="75"/>
      <c r="AF827" s="75"/>
      <c r="AG827" s="75"/>
    </row>
    <row r="828" spans="1:33" s="16" customFormat="1" ht="39" customHeight="1">
      <c r="A828" s="23" t="s">
        <v>1339</v>
      </c>
      <c r="B828" s="25" t="s">
        <v>182</v>
      </c>
      <c r="C828" s="23" t="s">
        <v>104</v>
      </c>
      <c r="D828" s="23" t="s">
        <v>79</v>
      </c>
      <c r="E828" s="23" t="s">
        <v>792</v>
      </c>
      <c r="F828" s="23" t="s">
        <v>211</v>
      </c>
      <c r="G828" s="58">
        <v>0</v>
      </c>
      <c r="H828" s="58">
        <v>48.8</v>
      </c>
      <c r="I828" s="58">
        <v>48.8</v>
      </c>
      <c r="J828" s="77">
        <f t="shared" si="163"/>
        <v>100</v>
      </c>
      <c r="K828" s="49"/>
      <c r="L828" s="49"/>
      <c r="M828" s="72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  <c r="AA828" s="75"/>
      <c r="AB828" s="75"/>
      <c r="AC828" s="75"/>
      <c r="AD828" s="75"/>
      <c r="AE828" s="75">
        <v>48.8</v>
      </c>
      <c r="AF828" s="75"/>
      <c r="AG828" s="75"/>
    </row>
    <row r="829" spans="1:33" s="16" customFormat="1" ht="30" customHeight="1">
      <c r="A829" s="23" t="s">
        <v>1502</v>
      </c>
      <c r="B829" s="22" t="s">
        <v>144</v>
      </c>
      <c r="C829" s="23" t="s">
        <v>104</v>
      </c>
      <c r="D829" s="23" t="s">
        <v>79</v>
      </c>
      <c r="E829" s="23" t="s">
        <v>792</v>
      </c>
      <c r="F829" s="23" t="s">
        <v>109</v>
      </c>
      <c r="G829" s="54">
        <f t="shared" si="162"/>
        <v>150</v>
      </c>
      <c r="H829" s="54">
        <f t="shared" si="162"/>
        <v>101.10000000000001</v>
      </c>
      <c r="I829" s="54">
        <f t="shared" si="162"/>
        <v>101.1</v>
      </c>
      <c r="J829" s="77">
        <f t="shared" si="163"/>
        <v>99.99999999999999</v>
      </c>
      <c r="K829" s="49"/>
      <c r="L829" s="50"/>
      <c r="M829" s="72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  <c r="AA829" s="75"/>
      <c r="AB829" s="75"/>
      <c r="AC829" s="75"/>
      <c r="AD829" s="75"/>
      <c r="AE829" s="75"/>
      <c r="AF829" s="75"/>
      <c r="AG829" s="75"/>
    </row>
    <row r="830" spans="1:33" s="16" customFormat="1" ht="33" customHeight="1">
      <c r="A830" s="23" t="s">
        <v>1503</v>
      </c>
      <c r="B830" s="22" t="s">
        <v>145</v>
      </c>
      <c r="C830" s="23" t="s">
        <v>104</v>
      </c>
      <c r="D830" s="23" t="s">
        <v>79</v>
      </c>
      <c r="E830" s="23" t="s">
        <v>792</v>
      </c>
      <c r="F830" s="23" t="s">
        <v>102</v>
      </c>
      <c r="G830" s="58">
        <v>150</v>
      </c>
      <c r="H830" s="58">
        <f>150-48.8-0.1</f>
        <v>101.10000000000001</v>
      </c>
      <c r="I830" s="58">
        <v>101.1</v>
      </c>
      <c r="J830" s="77">
        <f t="shared" si="163"/>
        <v>99.99999999999999</v>
      </c>
      <c r="K830" s="49"/>
      <c r="L830" s="50"/>
      <c r="M830" s="72"/>
      <c r="N830" s="75"/>
      <c r="O830" s="75"/>
      <c r="P830" s="75"/>
      <c r="Q830" s="75"/>
      <c r="R830" s="75"/>
      <c r="S830" s="75"/>
      <c r="T830" s="75"/>
      <c r="U830" s="75">
        <v>30</v>
      </c>
      <c r="V830" s="75"/>
      <c r="W830" s="75"/>
      <c r="X830" s="75">
        <v>-10</v>
      </c>
      <c r="Y830" s="75"/>
      <c r="Z830" s="75">
        <v>150</v>
      </c>
      <c r="AA830" s="75"/>
      <c r="AB830" s="75">
        <v>150</v>
      </c>
      <c r="AC830" s="75"/>
      <c r="AD830" s="75"/>
      <c r="AE830" s="75">
        <v>-48.8</v>
      </c>
      <c r="AF830" s="75">
        <v>-0.1</v>
      </c>
      <c r="AG830" s="75"/>
    </row>
    <row r="831" spans="1:33" s="16" customFormat="1" ht="56.25" customHeight="1">
      <c r="A831" s="23" t="s">
        <v>1504</v>
      </c>
      <c r="B831" s="22" t="s">
        <v>505</v>
      </c>
      <c r="C831" s="23" t="s">
        <v>104</v>
      </c>
      <c r="D831" s="23" t="s">
        <v>79</v>
      </c>
      <c r="E831" s="23" t="s">
        <v>793</v>
      </c>
      <c r="F831" s="23"/>
      <c r="G831" s="54">
        <f t="shared" si="162"/>
        <v>30</v>
      </c>
      <c r="H831" s="54">
        <f t="shared" si="162"/>
        <v>30</v>
      </c>
      <c r="I831" s="54">
        <f t="shared" si="162"/>
        <v>30</v>
      </c>
      <c r="J831" s="77">
        <f t="shared" si="163"/>
        <v>100</v>
      </c>
      <c r="K831" s="49"/>
      <c r="L831" s="49">
        <v>30</v>
      </c>
      <c r="M831" s="72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  <c r="AA831" s="75"/>
      <c r="AB831" s="75">
        <v>30</v>
      </c>
      <c r="AC831" s="75"/>
      <c r="AD831" s="75"/>
      <c r="AE831" s="75"/>
      <c r="AF831" s="75"/>
      <c r="AG831" s="75"/>
    </row>
    <row r="832" spans="1:33" s="16" customFormat="1" ht="31.5" customHeight="1">
      <c r="A832" s="23" t="s">
        <v>1340</v>
      </c>
      <c r="B832" s="22" t="s">
        <v>144</v>
      </c>
      <c r="C832" s="23" t="s">
        <v>104</v>
      </c>
      <c r="D832" s="23" t="s">
        <v>79</v>
      </c>
      <c r="E832" s="23" t="s">
        <v>793</v>
      </c>
      <c r="F832" s="23" t="s">
        <v>109</v>
      </c>
      <c r="G832" s="54">
        <f t="shared" si="162"/>
        <v>30</v>
      </c>
      <c r="H832" s="54">
        <f t="shared" si="162"/>
        <v>30</v>
      </c>
      <c r="I832" s="54">
        <f t="shared" si="162"/>
        <v>30</v>
      </c>
      <c r="J832" s="77">
        <f t="shared" si="163"/>
        <v>100</v>
      </c>
      <c r="K832" s="49"/>
      <c r="L832" s="50"/>
      <c r="M832" s="72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  <c r="AA832" s="75"/>
      <c r="AB832" s="75"/>
      <c r="AC832" s="75"/>
      <c r="AD832" s="75"/>
      <c r="AE832" s="75"/>
      <c r="AF832" s="75"/>
      <c r="AG832" s="75"/>
    </row>
    <row r="833" spans="1:33" s="16" customFormat="1" ht="33" customHeight="1">
      <c r="A833" s="23" t="s">
        <v>1341</v>
      </c>
      <c r="B833" s="22" t="s">
        <v>145</v>
      </c>
      <c r="C833" s="23" t="s">
        <v>104</v>
      </c>
      <c r="D833" s="23" t="s">
        <v>79</v>
      </c>
      <c r="E833" s="23" t="s">
        <v>793</v>
      </c>
      <c r="F833" s="23" t="s">
        <v>102</v>
      </c>
      <c r="G833" s="58">
        <v>30</v>
      </c>
      <c r="H833" s="58">
        <v>30</v>
      </c>
      <c r="I833" s="58">
        <v>30</v>
      </c>
      <c r="J833" s="77">
        <f t="shared" si="163"/>
        <v>100</v>
      </c>
      <c r="K833" s="49"/>
      <c r="L833" s="50"/>
      <c r="M833" s="72"/>
      <c r="N833" s="75"/>
      <c r="O833" s="75"/>
      <c r="P833" s="75"/>
      <c r="Q833" s="75"/>
      <c r="R833" s="75"/>
      <c r="S833" s="75"/>
      <c r="T833" s="75"/>
      <c r="U833" s="75">
        <v>30</v>
      </c>
      <c r="V833" s="75"/>
      <c r="W833" s="75"/>
      <c r="X833" s="75"/>
      <c r="Y833" s="75"/>
      <c r="Z833" s="75">
        <v>30</v>
      </c>
      <c r="AA833" s="75"/>
      <c r="AB833" s="75"/>
      <c r="AC833" s="75"/>
      <c r="AD833" s="75"/>
      <c r="AE833" s="75"/>
      <c r="AF833" s="75"/>
      <c r="AG833" s="75"/>
    </row>
    <row r="834" spans="1:33" s="15" customFormat="1" ht="61.5" customHeight="1">
      <c r="A834" s="23" t="s">
        <v>1342</v>
      </c>
      <c r="B834" s="22" t="s">
        <v>51</v>
      </c>
      <c r="C834" s="23" t="s">
        <v>104</v>
      </c>
      <c r="D834" s="23" t="s">
        <v>79</v>
      </c>
      <c r="E834" s="23" t="s">
        <v>794</v>
      </c>
      <c r="F834" s="23"/>
      <c r="G834" s="54">
        <f>G835+G837</f>
        <v>60</v>
      </c>
      <c r="H834" s="54">
        <f>H835+H837</f>
        <v>60</v>
      </c>
      <c r="I834" s="54">
        <f>I835+I837</f>
        <v>60</v>
      </c>
      <c r="J834" s="77">
        <f t="shared" si="163"/>
        <v>100</v>
      </c>
      <c r="K834" s="47"/>
      <c r="L834" s="48"/>
      <c r="M834" s="86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>
        <v>60</v>
      </c>
      <c r="AA834" s="83"/>
      <c r="AB834" s="83">
        <v>60</v>
      </c>
      <c r="AC834" s="83"/>
      <c r="AD834" s="83"/>
      <c r="AE834" s="83"/>
      <c r="AF834" s="83"/>
      <c r="AG834" s="83"/>
    </row>
    <row r="835" spans="1:33" s="15" customFormat="1" ht="33" customHeight="1">
      <c r="A835" s="23" t="s">
        <v>1505</v>
      </c>
      <c r="B835" s="22" t="s">
        <v>144</v>
      </c>
      <c r="C835" s="23" t="s">
        <v>104</v>
      </c>
      <c r="D835" s="23" t="s">
        <v>79</v>
      </c>
      <c r="E835" s="23" t="s">
        <v>794</v>
      </c>
      <c r="F835" s="23" t="s">
        <v>109</v>
      </c>
      <c r="G835" s="54">
        <f>G836</f>
        <v>37.1</v>
      </c>
      <c r="H835" s="54">
        <f>H836</f>
        <v>32.800000000000004</v>
      </c>
      <c r="I835" s="54">
        <f>I836</f>
        <v>32.8</v>
      </c>
      <c r="J835" s="77">
        <f t="shared" si="163"/>
        <v>99.99999999999997</v>
      </c>
      <c r="K835" s="47"/>
      <c r="L835" s="48"/>
      <c r="M835" s="86"/>
      <c r="N835" s="83">
        <v>7.9</v>
      </c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</row>
    <row r="836" spans="1:33" s="16" customFormat="1" ht="30.75" customHeight="1">
      <c r="A836" s="23" t="s">
        <v>1506</v>
      </c>
      <c r="B836" s="22" t="s">
        <v>145</v>
      </c>
      <c r="C836" s="23" t="s">
        <v>104</v>
      </c>
      <c r="D836" s="23" t="s">
        <v>79</v>
      </c>
      <c r="E836" s="23" t="s">
        <v>794</v>
      </c>
      <c r="F836" s="23" t="s">
        <v>102</v>
      </c>
      <c r="G836" s="58">
        <v>37.1</v>
      </c>
      <c r="H836" s="58">
        <f>37.1-4.3</f>
        <v>32.800000000000004</v>
      </c>
      <c r="I836" s="58">
        <v>32.8</v>
      </c>
      <c r="J836" s="77">
        <f t="shared" si="163"/>
        <v>99.99999999999997</v>
      </c>
      <c r="K836" s="49"/>
      <c r="L836" s="49">
        <v>175</v>
      </c>
      <c r="M836" s="72"/>
      <c r="N836" s="75"/>
      <c r="O836" s="75"/>
      <c r="P836" s="75"/>
      <c r="Q836" s="75"/>
      <c r="R836" s="75"/>
      <c r="S836" s="75"/>
      <c r="T836" s="75"/>
      <c r="U836" s="75">
        <v>175</v>
      </c>
      <c r="V836" s="75"/>
      <c r="W836" s="75"/>
      <c r="X836" s="75"/>
      <c r="Y836" s="75"/>
      <c r="Z836" s="75"/>
      <c r="AA836" s="75"/>
      <c r="AB836" s="75"/>
      <c r="AC836" s="75"/>
      <c r="AD836" s="75"/>
      <c r="AE836" s="75"/>
      <c r="AF836" s="75"/>
      <c r="AG836" s="75"/>
    </row>
    <row r="837" spans="1:33" s="16" customFormat="1" ht="32.25" customHeight="1">
      <c r="A837" s="23" t="s">
        <v>1343</v>
      </c>
      <c r="B837" s="22" t="s">
        <v>270</v>
      </c>
      <c r="C837" s="23" t="s">
        <v>104</v>
      </c>
      <c r="D837" s="23" t="s">
        <v>79</v>
      </c>
      <c r="E837" s="23" t="s">
        <v>794</v>
      </c>
      <c r="F837" s="23" t="s">
        <v>163</v>
      </c>
      <c r="G837" s="58">
        <f>G838</f>
        <v>22.9</v>
      </c>
      <c r="H837" s="58">
        <f>H838</f>
        <v>27.2</v>
      </c>
      <c r="I837" s="58">
        <f>I838</f>
        <v>27.2</v>
      </c>
      <c r="J837" s="77">
        <f t="shared" si="163"/>
        <v>100</v>
      </c>
      <c r="K837" s="49"/>
      <c r="L837" s="50"/>
      <c r="M837" s="72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  <c r="AA837" s="75"/>
      <c r="AB837" s="75"/>
      <c r="AC837" s="75"/>
      <c r="AD837" s="75"/>
      <c r="AE837" s="75"/>
      <c r="AF837" s="75"/>
      <c r="AG837" s="75"/>
    </row>
    <row r="838" spans="1:33" s="16" customFormat="1" ht="22.5" customHeight="1">
      <c r="A838" s="23" t="s">
        <v>1203</v>
      </c>
      <c r="B838" s="22" t="s">
        <v>165</v>
      </c>
      <c r="C838" s="23" t="s">
        <v>104</v>
      </c>
      <c r="D838" s="23" t="s">
        <v>79</v>
      </c>
      <c r="E838" s="23" t="s">
        <v>794</v>
      </c>
      <c r="F838" s="23" t="s">
        <v>164</v>
      </c>
      <c r="G838" s="58">
        <v>22.9</v>
      </c>
      <c r="H838" s="58">
        <f>22.9+4.3</f>
        <v>27.2</v>
      </c>
      <c r="I838" s="58">
        <v>27.2</v>
      </c>
      <c r="J838" s="77">
        <f t="shared" si="163"/>
        <v>100</v>
      </c>
      <c r="K838" s="49"/>
      <c r="L838" s="50"/>
      <c r="M838" s="72"/>
      <c r="N838" s="75">
        <v>-175</v>
      </c>
      <c r="O838" s="75"/>
      <c r="P838" s="75"/>
      <c r="Q838" s="75"/>
      <c r="R838" s="75"/>
      <c r="S838" s="75"/>
      <c r="T838" s="75"/>
      <c r="U838" s="75"/>
      <c r="V838" s="75"/>
      <c r="W838" s="75"/>
      <c r="X838" s="75">
        <v>-175</v>
      </c>
      <c r="Y838" s="75"/>
      <c r="Z838" s="75"/>
      <c r="AA838" s="75"/>
      <c r="AB838" s="75"/>
      <c r="AC838" s="75"/>
      <c r="AD838" s="75"/>
      <c r="AE838" s="75"/>
      <c r="AF838" s="75"/>
      <c r="AG838" s="75"/>
    </row>
    <row r="839" spans="1:33" s="16" customFormat="1" ht="66.75" customHeight="1">
      <c r="A839" s="23" t="s">
        <v>1344</v>
      </c>
      <c r="B839" s="22" t="s">
        <v>52</v>
      </c>
      <c r="C839" s="23" t="s">
        <v>104</v>
      </c>
      <c r="D839" s="23" t="s">
        <v>79</v>
      </c>
      <c r="E839" s="23" t="s">
        <v>795</v>
      </c>
      <c r="F839" s="23"/>
      <c r="G839" s="54">
        <f aca="true" t="shared" si="164" ref="G839:I840">G840</f>
        <v>175</v>
      </c>
      <c r="H839" s="54">
        <f t="shared" si="164"/>
        <v>175</v>
      </c>
      <c r="I839" s="54">
        <f t="shared" si="164"/>
        <v>175</v>
      </c>
      <c r="J839" s="77">
        <f t="shared" si="163"/>
        <v>100</v>
      </c>
      <c r="K839" s="49"/>
      <c r="L839" s="50"/>
      <c r="M839" s="72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>
        <v>175</v>
      </c>
      <c r="AA839" s="75"/>
      <c r="AB839" s="75">
        <v>175</v>
      </c>
      <c r="AC839" s="75"/>
      <c r="AD839" s="75"/>
      <c r="AE839" s="75"/>
      <c r="AF839" s="75"/>
      <c r="AG839" s="75"/>
    </row>
    <row r="840" spans="1:33" s="16" customFormat="1" ht="29.25" customHeight="1">
      <c r="A840" s="23" t="s">
        <v>1368</v>
      </c>
      <c r="B840" s="22" t="s">
        <v>144</v>
      </c>
      <c r="C840" s="23" t="s">
        <v>104</v>
      </c>
      <c r="D840" s="23" t="s">
        <v>79</v>
      </c>
      <c r="E840" s="23" t="s">
        <v>795</v>
      </c>
      <c r="F840" s="23" t="s">
        <v>109</v>
      </c>
      <c r="G840" s="54">
        <f t="shared" si="164"/>
        <v>175</v>
      </c>
      <c r="H840" s="54">
        <f t="shared" si="164"/>
        <v>175</v>
      </c>
      <c r="I840" s="54">
        <f t="shared" si="164"/>
        <v>175</v>
      </c>
      <c r="J840" s="77">
        <f t="shared" si="163"/>
        <v>100</v>
      </c>
      <c r="K840" s="49"/>
      <c r="L840" s="49">
        <v>40</v>
      </c>
      <c r="M840" s="72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  <c r="AA840" s="75"/>
      <c r="AB840" s="75"/>
      <c r="AC840" s="75"/>
      <c r="AD840" s="75"/>
      <c r="AE840" s="75"/>
      <c r="AF840" s="75"/>
      <c r="AG840" s="75"/>
    </row>
    <row r="841" spans="1:33" s="16" customFormat="1" ht="30.75" customHeight="1">
      <c r="A841" s="23" t="s">
        <v>1369</v>
      </c>
      <c r="B841" s="22" t="s">
        <v>145</v>
      </c>
      <c r="C841" s="23" t="s">
        <v>104</v>
      </c>
      <c r="D841" s="23" t="s">
        <v>79</v>
      </c>
      <c r="E841" s="23" t="s">
        <v>795</v>
      </c>
      <c r="F841" s="23" t="s">
        <v>102</v>
      </c>
      <c r="G841" s="58">
        <v>175</v>
      </c>
      <c r="H841" s="58">
        <v>175</v>
      </c>
      <c r="I841" s="58">
        <v>175</v>
      </c>
      <c r="J841" s="77">
        <f t="shared" si="163"/>
        <v>100</v>
      </c>
      <c r="K841" s="49"/>
      <c r="L841" s="50"/>
      <c r="M841" s="72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  <c r="AA841" s="75"/>
      <c r="AB841" s="75"/>
      <c r="AC841" s="75"/>
      <c r="AD841" s="75"/>
      <c r="AE841" s="75"/>
      <c r="AF841" s="75"/>
      <c r="AG841" s="75"/>
    </row>
    <row r="842" spans="1:33" s="16" customFormat="1" ht="57" customHeight="1">
      <c r="A842" s="23" t="s">
        <v>1370</v>
      </c>
      <c r="B842" s="25" t="s">
        <v>644</v>
      </c>
      <c r="C842" s="23" t="s">
        <v>104</v>
      </c>
      <c r="D842" s="23" t="s">
        <v>79</v>
      </c>
      <c r="E842" s="23" t="s">
        <v>564</v>
      </c>
      <c r="F842" s="23"/>
      <c r="G842" s="58">
        <f>SUM(G843+G845)</f>
        <v>0</v>
      </c>
      <c r="H842" s="58">
        <f>SUM(H843+H845)</f>
        <v>336.8</v>
      </c>
      <c r="I842" s="58">
        <f>SUM(I843+I845)</f>
        <v>336.8</v>
      </c>
      <c r="J842" s="77">
        <f t="shared" si="163"/>
        <v>100</v>
      </c>
      <c r="K842" s="49"/>
      <c r="L842" s="50"/>
      <c r="M842" s="72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  <c r="AA842" s="75"/>
      <c r="AB842" s="75"/>
      <c r="AC842" s="75"/>
      <c r="AD842" s="75"/>
      <c r="AE842" s="75"/>
      <c r="AF842" s="75"/>
      <c r="AG842" s="75"/>
    </row>
    <row r="843" spans="1:33" s="16" customFormat="1" ht="30.75" customHeight="1">
      <c r="A843" s="23" t="s">
        <v>1371</v>
      </c>
      <c r="B843" s="22" t="s">
        <v>144</v>
      </c>
      <c r="C843" s="23" t="s">
        <v>104</v>
      </c>
      <c r="D843" s="23" t="s">
        <v>79</v>
      </c>
      <c r="E843" s="23" t="s">
        <v>564</v>
      </c>
      <c r="F843" s="23" t="s">
        <v>109</v>
      </c>
      <c r="G843" s="58">
        <f>SUM(G844)</f>
        <v>0</v>
      </c>
      <c r="H843" s="58">
        <f>SUM(H844)</f>
        <v>336.8</v>
      </c>
      <c r="I843" s="58">
        <f>SUM(I844)</f>
        <v>336.8</v>
      </c>
      <c r="J843" s="77">
        <f t="shared" si="163"/>
        <v>100</v>
      </c>
      <c r="K843" s="49"/>
      <c r="L843" s="50"/>
      <c r="M843" s="72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  <c r="AA843" s="75"/>
      <c r="AB843" s="75"/>
      <c r="AC843" s="75"/>
      <c r="AD843" s="75"/>
      <c r="AE843" s="75"/>
      <c r="AF843" s="75"/>
      <c r="AG843" s="75"/>
    </row>
    <row r="844" spans="1:33" s="16" customFormat="1" ht="30.75" customHeight="1">
      <c r="A844" s="23" t="s">
        <v>1372</v>
      </c>
      <c r="B844" s="22" t="s">
        <v>145</v>
      </c>
      <c r="C844" s="23" t="s">
        <v>104</v>
      </c>
      <c r="D844" s="23" t="s">
        <v>79</v>
      </c>
      <c r="E844" s="23" t="s">
        <v>564</v>
      </c>
      <c r="F844" s="23" t="s">
        <v>102</v>
      </c>
      <c r="G844" s="58">
        <v>0</v>
      </c>
      <c r="H844" s="58">
        <f>417-80.2</f>
        <v>336.8</v>
      </c>
      <c r="I844" s="58">
        <v>336.8</v>
      </c>
      <c r="J844" s="77">
        <f t="shared" si="163"/>
        <v>100</v>
      </c>
      <c r="K844" s="49"/>
      <c r="L844" s="50"/>
      <c r="M844" s="72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  <c r="AA844" s="75"/>
      <c r="AB844" s="75"/>
      <c r="AC844" s="75"/>
      <c r="AD844" s="75"/>
      <c r="AE844" s="75">
        <v>417</v>
      </c>
      <c r="AF844" s="75"/>
      <c r="AG844" s="75"/>
    </row>
    <row r="845" spans="1:33" s="16" customFormat="1" ht="30.75" customHeight="1">
      <c r="A845" s="23" t="s">
        <v>1373</v>
      </c>
      <c r="B845" s="22" t="s">
        <v>87</v>
      </c>
      <c r="C845" s="23" t="s">
        <v>104</v>
      </c>
      <c r="D845" s="23" t="s">
        <v>79</v>
      </c>
      <c r="E845" s="23" t="s">
        <v>564</v>
      </c>
      <c r="F845" s="23" t="s">
        <v>88</v>
      </c>
      <c r="G845" s="58">
        <f>SUM(G846)</f>
        <v>0</v>
      </c>
      <c r="H845" s="58">
        <f>SUM(H846)</f>
        <v>0</v>
      </c>
      <c r="I845" s="58">
        <f>SUM(I846)</f>
        <v>0</v>
      </c>
      <c r="J845" s="77">
        <v>0</v>
      </c>
      <c r="K845" s="49"/>
      <c r="L845" s="50"/>
      <c r="M845" s="72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  <c r="AA845" s="75"/>
      <c r="AB845" s="75"/>
      <c r="AC845" s="75"/>
      <c r="AD845" s="75"/>
      <c r="AE845" s="75"/>
      <c r="AF845" s="75"/>
      <c r="AG845" s="75"/>
    </row>
    <row r="846" spans="1:33" s="16" customFormat="1" ht="30.75" customHeight="1">
      <c r="A846" s="23" t="s">
        <v>1374</v>
      </c>
      <c r="B846" s="22" t="s">
        <v>248</v>
      </c>
      <c r="C846" s="23" t="s">
        <v>104</v>
      </c>
      <c r="D846" s="23" t="s">
        <v>79</v>
      </c>
      <c r="E846" s="23" t="s">
        <v>564</v>
      </c>
      <c r="F846" s="23" t="s">
        <v>249</v>
      </c>
      <c r="G846" s="58">
        <f>106.2-79.1-27.1</f>
        <v>0</v>
      </c>
      <c r="H846" s="58">
        <f>106.2-79.1-27.1</f>
        <v>0</v>
      </c>
      <c r="I846" s="58">
        <v>0</v>
      </c>
      <c r="J846" s="77">
        <v>0</v>
      </c>
      <c r="K846" s="49"/>
      <c r="L846" s="50"/>
      <c r="M846" s="72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>
        <v>106.2</v>
      </c>
      <c r="AF846" s="75">
        <v>-27.1</v>
      </c>
      <c r="AG846" s="75"/>
    </row>
    <row r="847" spans="1:33" s="16" customFormat="1" ht="19.5" customHeight="1">
      <c r="A847" s="23" t="s">
        <v>1375</v>
      </c>
      <c r="B847" s="24" t="s">
        <v>210</v>
      </c>
      <c r="C847" s="23" t="s">
        <v>104</v>
      </c>
      <c r="D847" s="23" t="s">
        <v>79</v>
      </c>
      <c r="E847" s="23" t="s">
        <v>359</v>
      </c>
      <c r="F847" s="23"/>
      <c r="G847" s="54">
        <f>G848+G851+G854</f>
        <v>190</v>
      </c>
      <c r="H847" s="54">
        <f>H848+H851+H854</f>
        <v>189.29999999999998</v>
      </c>
      <c r="I847" s="54">
        <f>I848+I851+I854</f>
        <v>189.29999999999998</v>
      </c>
      <c r="J847" s="77">
        <f t="shared" si="163"/>
        <v>100</v>
      </c>
      <c r="K847" s="49"/>
      <c r="L847" s="50"/>
      <c r="M847" s="72"/>
      <c r="N847" s="75">
        <v>-15</v>
      </c>
      <c r="O847" s="75"/>
      <c r="P847" s="75"/>
      <c r="Q847" s="75"/>
      <c r="R847" s="75"/>
      <c r="S847" s="75"/>
      <c r="T847" s="75"/>
      <c r="U847" s="75">
        <v>40</v>
      </c>
      <c r="V847" s="75"/>
      <c r="W847" s="75"/>
      <c r="X847" s="75"/>
      <c r="Y847" s="75"/>
      <c r="Z847" s="75"/>
      <c r="AA847" s="75"/>
      <c r="AB847" s="75"/>
      <c r="AC847" s="75"/>
      <c r="AD847" s="75"/>
      <c r="AE847" s="75"/>
      <c r="AF847" s="75"/>
      <c r="AG847" s="75"/>
    </row>
    <row r="848" spans="1:33" s="16" customFormat="1" ht="117.75" customHeight="1">
      <c r="A848" s="23" t="s">
        <v>1376</v>
      </c>
      <c r="B848" s="22" t="s">
        <v>506</v>
      </c>
      <c r="C848" s="23" t="s">
        <v>104</v>
      </c>
      <c r="D848" s="23" t="s">
        <v>79</v>
      </c>
      <c r="E848" s="23" t="s">
        <v>796</v>
      </c>
      <c r="F848" s="23"/>
      <c r="G848" s="54">
        <f aca="true" t="shared" si="165" ref="G848:I849">G849</f>
        <v>40</v>
      </c>
      <c r="H848" s="54">
        <f t="shared" si="165"/>
        <v>5.700000000000003</v>
      </c>
      <c r="I848" s="54">
        <f t="shared" si="165"/>
        <v>5.7</v>
      </c>
      <c r="J848" s="77">
        <f t="shared" si="163"/>
        <v>99.99999999999996</v>
      </c>
      <c r="K848" s="49"/>
      <c r="L848" s="49">
        <v>30</v>
      </c>
      <c r="M848" s="72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  <c r="AB848" s="75">
        <v>40</v>
      </c>
      <c r="AC848" s="75"/>
      <c r="AD848" s="75"/>
      <c r="AE848" s="75"/>
      <c r="AF848" s="75"/>
      <c r="AG848" s="75"/>
    </row>
    <row r="849" spans="1:33" s="15" customFormat="1" ht="57.75" customHeight="1">
      <c r="A849" s="23" t="s">
        <v>1377</v>
      </c>
      <c r="B849" s="25" t="s">
        <v>181</v>
      </c>
      <c r="C849" s="23" t="s">
        <v>104</v>
      </c>
      <c r="D849" s="23" t="s">
        <v>79</v>
      </c>
      <c r="E849" s="23" t="s">
        <v>796</v>
      </c>
      <c r="F849" s="23" t="s">
        <v>179</v>
      </c>
      <c r="G849" s="54">
        <f t="shared" si="165"/>
        <v>40</v>
      </c>
      <c r="H849" s="54">
        <f t="shared" si="165"/>
        <v>5.700000000000003</v>
      </c>
      <c r="I849" s="54">
        <f t="shared" si="165"/>
        <v>5.7</v>
      </c>
      <c r="J849" s="77">
        <f t="shared" si="163"/>
        <v>99.99999999999996</v>
      </c>
      <c r="K849" s="47"/>
      <c r="L849" s="48"/>
      <c r="M849" s="86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  <c r="AA849" s="83"/>
      <c r="AB849" s="83"/>
      <c r="AC849" s="83"/>
      <c r="AD849" s="83"/>
      <c r="AE849" s="83"/>
      <c r="AF849" s="83"/>
      <c r="AG849" s="83"/>
    </row>
    <row r="850" spans="1:33" s="16" customFormat="1" ht="21.75" customHeight="1">
      <c r="A850" s="23" t="s">
        <v>1378</v>
      </c>
      <c r="B850" s="25" t="s">
        <v>182</v>
      </c>
      <c r="C850" s="23" t="s">
        <v>104</v>
      </c>
      <c r="D850" s="23" t="s">
        <v>79</v>
      </c>
      <c r="E850" s="23" t="s">
        <v>796</v>
      </c>
      <c r="F850" s="23" t="s">
        <v>211</v>
      </c>
      <c r="G850" s="58">
        <v>40</v>
      </c>
      <c r="H850" s="58">
        <f>40-34.3</f>
        <v>5.700000000000003</v>
      </c>
      <c r="I850" s="58">
        <v>5.7</v>
      </c>
      <c r="J850" s="77">
        <f t="shared" si="163"/>
        <v>99.99999999999996</v>
      </c>
      <c r="K850" s="49"/>
      <c r="L850" s="50"/>
      <c r="M850" s="72"/>
      <c r="N850" s="75"/>
      <c r="O850" s="75"/>
      <c r="P850" s="75"/>
      <c r="Q850" s="75"/>
      <c r="R850" s="75"/>
      <c r="S850" s="75"/>
      <c r="T850" s="75"/>
      <c r="U850" s="75">
        <v>30</v>
      </c>
      <c r="V850" s="75"/>
      <c r="W850" s="75"/>
      <c r="X850" s="75">
        <v>-10</v>
      </c>
      <c r="Y850" s="75"/>
      <c r="Z850" s="75">
        <v>40</v>
      </c>
      <c r="AA850" s="75"/>
      <c r="AB850" s="75"/>
      <c r="AC850" s="75"/>
      <c r="AD850" s="75"/>
      <c r="AE850" s="75"/>
      <c r="AF850" s="75">
        <v>-34.3</v>
      </c>
      <c r="AG850" s="75"/>
    </row>
    <row r="851" spans="1:33" s="16" customFormat="1" ht="87.75" customHeight="1">
      <c r="A851" s="23" t="s">
        <v>1379</v>
      </c>
      <c r="B851" s="22" t="s">
        <v>231</v>
      </c>
      <c r="C851" s="23" t="s">
        <v>104</v>
      </c>
      <c r="D851" s="23" t="s">
        <v>79</v>
      </c>
      <c r="E851" s="23" t="s">
        <v>797</v>
      </c>
      <c r="F851" s="23"/>
      <c r="G851" s="54">
        <f aca="true" t="shared" si="166" ref="G851:I852">G852</f>
        <v>30</v>
      </c>
      <c r="H851" s="54">
        <f t="shared" si="166"/>
        <v>29.4</v>
      </c>
      <c r="I851" s="54">
        <f t="shared" si="166"/>
        <v>29.4</v>
      </c>
      <c r="J851" s="77">
        <f t="shared" si="163"/>
        <v>100</v>
      </c>
      <c r="K851" s="49"/>
      <c r="L851" s="49">
        <v>120</v>
      </c>
      <c r="M851" s="72"/>
      <c r="N851" s="75"/>
      <c r="O851" s="75"/>
      <c r="P851" s="75"/>
      <c r="Q851" s="75"/>
      <c r="R851" s="75"/>
      <c r="S851" s="75"/>
      <c r="T851" s="75"/>
      <c r="U851" s="43" t="s">
        <v>653</v>
      </c>
      <c r="V851" s="75"/>
      <c r="W851" s="75"/>
      <c r="X851" s="75"/>
      <c r="Y851" s="75"/>
      <c r="Z851" s="75"/>
      <c r="AA851" s="75"/>
      <c r="AB851" s="75">
        <v>30</v>
      </c>
      <c r="AC851" s="75"/>
      <c r="AD851" s="75"/>
      <c r="AE851" s="75"/>
      <c r="AF851" s="75"/>
      <c r="AG851" s="75"/>
    </row>
    <row r="852" spans="1:33" s="16" customFormat="1" ht="36.75" customHeight="1">
      <c r="A852" s="23" t="s">
        <v>1380</v>
      </c>
      <c r="B852" s="22" t="s">
        <v>144</v>
      </c>
      <c r="C852" s="23" t="s">
        <v>104</v>
      </c>
      <c r="D852" s="23" t="s">
        <v>79</v>
      </c>
      <c r="E852" s="23" t="s">
        <v>797</v>
      </c>
      <c r="F852" s="23" t="s">
        <v>109</v>
      </c>
      <c r="G852" s="54">
        <f t="shared" si="166"/>
        <v>30</v>
      </c>
      <c r="H852" s="54">
        <f t="shared" si="166"/>
        <v>29.4</v>
      </c>
      <c r="I852" s="54">
        <f t="shared" si="166"/>
        <v>29.4</v>
      </c>
      <c r="J852" s="77">
        <f t="shared" si="163"/>
        <v>100</v>
      </c>
      <c r="K852" s="49"/>
      <c r="L852" s="50"/>
      <c r="M852" s="72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>
        <v>30</v>
      </c>
      <c r="AA852" s="75"/>
      <c r="AB852" s="75"/>
      <c r="AC852" s="75"/>
      <c r="AD852" s="75"/>
      <c r="AE852" s="75"/>
      <c r="AF852" s="75"/>
      <c r="AG852" s="75"/>
    </row>
    <row r="853" spans="1:33" s="16" customFormat="1" ht="35.25" customHeight="1">
      <c r="A853" s="23" t="s">
        <v>1381</v>
      </c>
      <c r="B853" s="22" t="s">
        <v>145</v>
      </c>
      <c r="C853" s="23" t="s">
        <v>104</v>
      </c>
      <c r="D853" s="23" t="s">
        <v>79</v>
      </c>
      <c r="E853" s="23" t="s">
        <v>797</v>
      </c>
      <c r="F853" s="23" t="s">
        <v>102</v>
      </c>
      <c r="G853" s="58">
        <v>30</v>
      </c>
      <c r="H853" s="58">
        <f>30-0.6</f>
        <v>29.4</v>
      </c>
      <c r="I853" s="58">
        <v>29.4</v>
      </c>
      <c r="J853" s="77">
        <f t="shared" si="163"/>
        <v>100</v>
      </c>
      <c r="K853" s="49"/>
      <c r="L853" s="50"/>
      <c r="M853" s="72"/>
      <c r="N853" s="75"/>
      <c r="O853" s="75"/>
      <c r="P853" s="75"/>
      <c r="Q853" s="75"/>
      <c r="R853" s="75"/>
      <c r="S853" s="75"/>
      <c r="T853" s="75"/>
      <c r="U853" s="75">
        <v>120</v>
      </c>
      <c r="V853" s="75"/>
      <c r="W853" s="75"/>
      <c r="X853" s="75">
        <v>-20</v>
      </c>
      <c r="Y853" s="75"/>
      <c r="Z853" s="75"/>
      <c r="AA853" s="75"/>
      <c r="AB853" s="75"/>
      <c r="AC853" s="75"/>
      <c r="AD853" s="75"/>
      <c r="AE853" s="75"/>
      <c r="AF853" s="75">
        <v>-0.6</v>
      </c>
      <c r="AG853" s="75"/>
    </row>
    <row r="854" spans="1:33" s="16" customFormat="1" ht="72" customHeight="1">
      <c r="A854" s="23" t="s">
        <v>1382</v>
      </c>
      <c r="B854" s="22" t="s">
        <v>232</v>
      </c>
      <c r="C854" s="23" t="s">
        <v>104</v>
      </c>
      <c r="D854" s="23" t="s">
        <v>79</v>
      </c>
      <c r="E854" s="23" t="s">
        <v>798</v>
      </c>
      <c r="F854" s="23"/>
      <c r="G854" s="54">
        <f aca="true" t="shared" si="167" ref="G854:I855">G855</f>
        <v>120</v>
      </c>
      <c r="H854" s="54">
        <f t="shared" si="167"/>
        <v>154.2</v>
      </c>
      <c r="I854" s="54">
        <f t="shared" si="167"/>
        <v>154.2</v>
      </c>
      <c r="J854" s="77">
        <f t="shared" si="163"/>
        <v>100</v>
      </c>
      <c r="K854" s="49"/>
      <c r="L854" s="50"/>
      <c r="M854" s="72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>
        <v>120</v>
      </c>
      <c r="AA854" s="75"/>
      <c r="AB854" s="75">
        <v>120</v>
      </c>
      <c r="AC854" s="75"/>
      <c r="AD854" s="75"/>
      <c r="AE854" s="75"/>
      <c r="AF854" s="75"/>
      <c r="AG854" s="75"/>
    </row>
    <row r="855" spans="1:33" s="16" customFormat="1" ht="36.75" customHeight="1">
      <c r="A855" s="23" t="s">
        <v>1383</v>
      </c>
      <c r="B855" s="22" t="s">
        <v>144</v>
      </c>
      <c r="C855" s="23" t="s">
        <v>104</v>
      </c>
      <c r="D855" s="23" t="s">
        <v>79</v>
      </c>
      <c r="E855" s="23" t="s">
        <v>798</v>
      </c>
      <c r="F855" s="23" t="s">
        <v>109</v>
      </c>
      <c r="G855" s="54">
        <f t="shared" si="167"/>
        <v>120</v>
      </c>
      <c r="H855" s="54">
        <f t="shared" si="167"/>
        <v>154.2</v>
      </c>
      <c r="I855" s="54">
        <f t="shared" si="167"/>
        <v>154.2</v>
      </c>
      <c r="J855" s="77">
        <f t="shared" si="163"/>
        <v>100</v>
      </c>
      <c r="K855" s="49">
        <v>1308.4</v>
      </c>
      <c r="L855" s="50"/>
      <c r="M855" s="72"/>
      <c r="N855" s="75"/>
      <c r="O855" s="75"/>
      <c r="P855" s="75"/>
      <c r="Q855" s="75"/>
      <c r="R855" s="75"/>
      <c r="S855" s="75"/>
      <c r="T855" s="75">
        <v>1629.8</v>
      </c>
      <c r="U855" s="75"/>
      <c r="V855" s="75"/>
      <c r="W855" s="75"/>
      <c r="X855" s="75"/>
      <c r="Y855" s="75"/>
      <c r="Z855" s="75"/>
      <c r="AA855" s="75"/>
      <c r="AB855" s="75"/>
      <c r="AC855" s="75"/>
      <c r="AD855" s="75"/>
      <c r="AE855" s="75"/>
      <c r="AF855" s="75"/>
      <c r="AG855" s="75"/>
    </row>
    <row r="856" spans="1:33" s="16" customFormat="1" ht="35.25" customHeight="1">
      <c r="A856" s="23" t="s">
        <v>1384</v>
      </c>
      <c r="B856" s="22" t="s">
        <v>145</v>
      </c>
      <c r="C856" s="23" t="s">
        <v>104</v>
      </c>
      <c r="D856" s="23" t="s">
        <v>79</v>
      </c>
      <c r="E856" s="23" t="s">
        <v>798</v>
      </c>
      <c r="F856" s="23" t="s">
        <v>102</v>
      </c>
      <c r="G856" s="58">
        <v>120</v>
      </c>
      <c r="H856" s="58">
        <v>154.2</v>
      </c>
      <c r="I856" s="58">
        <v>154.2</v>
      </c>
      <c r="J856" s="77">
        <f t="shared" si="163"/>
        <v>100</v>
      </c>
      <c r="K856" s="49"/>
      <c r="L856" s="50"/>
      <c r="M856" s="72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  <c r="AA856" s="75"/>
      <c r="AB856" s="75"/>
      <c r="AC856" s="75"/>
      <c r="AD856" s="75"/>
      <c r="AE856" s="75"/>
      <c r="AF856" s="75">
        <v>34.3</v>
      </c>
      <c r="AG856" s="75"/>
    </row>
    <row r="857" spans="1:33" s="16" customFormat="1" ht="36.75" customHeight="1">
      <c r="A857" s="23" t="s">
        <v>1385</v>
      </c>
      <c r="B857" s="24" t="s">
        <v>233</v>
      </c>
      <c r="C857" s="23" t="s">
        <v>104</v>
      </c>
      <c r="D857" s="23" t="s">
        <v>79</v>
      </c>
      <c r="E857" s="23" t="s">
        <v>358</v>
      </c>
      <c r="F857" s="23"/>
      <c r="G857" s="58">
        <f>G858+G863</f>
        <v>2068.3</v>
      </c>
      <c r="H857" s="58">
        <f>H858+H863</f>
        <v>2118</v>
      </c>
      <c r="I857" s="58">
        <f>I858+I863</f>
        <v>2118</v>
      </c>
      <c r="J857" s="77">
        <f t="shared" si="163"/>
        <v>100</v>
      </c>
      <c r="K857" s="49"/>
      <c r="L857" s="50"/>
      <c r="M857" s="72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  <c r="AA857" s="75"/>
      <c r="AB857" s="75"/>
      <c r="AC857" s="75"/>
      <c r="AD857" s="75"/>
      <c r="AE857" s="75"/>
      <c r="AF857" s="75"/>
      <c r="AG857" s="75"/>
    </row>
    <row r="858" spans="1:33" s="16" customFormat="1" ht="98.25" customHeight="1">
      <c r="A858" s="23" t="s">
        <v>202</v>
      </c>
      <c r="B858" s="22" t="s">
        <v>496</v>
      </c>
      <c r="C858" s="23" t="s">
        <v>104</v>
      </c>
      <c r="D858" s="23" t="s">
        <v>79</v>
      </c>
      <c r="E858" s="23" t="s">
        <v>376</v>
      </c>
      <c r="F858" s="23"/>
      <c r="G858" s="58">
        <f>G859+G861</f>
        <v>1918.3</v>
      </c>
      <c r="H858" s="58">
        <f>H859+H861</f>
        <v>1968.8</v>
      </c>
      <c r="I858" s="58">
        <f>I859+I861</f>
        <v>1968.8</v>
      </c>
      <c r="J858" s="77">
        <f t="shared" si="163"/>
        <v>100</v>
      </c>
      <c r="K858" s="49"/>
      <c r="L858" s="50"/>
      <c r="M858" s="72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  <c r="AA858" s="75">
        <v>1641.1</v>
      </c>
      <c r="AB858" s="75"/>
      <c r="AC858" s="75">
        <v>1918.3</v>
      </c>
      <c r="AD858" s="75"/>
      <c r="AE858" s="75"/>
      <c r="AF858" s="75"/>
      <c r="AG858" s="75"/>
    </row>
    <row r="859" spans="1:33" s="16" customFormat="1" ht="57.75" customHeight="1">
      <c r="A859" s="23" t="s">
        <v>1386</v>
      </c>
      <c r="B859" s="25" t="s">
        <v>181</v>
      </c>
      <c r="C859" s="23" t="s">
        <v>104</v>
      </c>
      <c r="D859" s="23" t="s">
        <v>79</v>
      </c>
      <c r="E859" s="23" t="s">
        <v>376</v>
      </c>
      <c r="F859" s="23" t="s">
        <v>179</v>
      </c>
      <c r="G859" s="58">
        <f>G860</f>
        <v>1602.8</v>
      </c>
      <c r="H859" s="58">
        <f>H860</f>
        <v>1653.3</v>
      </c>
      <c r="I859" s="58">
        <f>I860</f>
        <v>1653.3</v>
      </c>
      <c r="J859" s="77">
        <f t="shared" si="163"/>
        <v>100</v>
      </c>
      <c r="K859" s="49"/>
      <c r="L859" s="50"/>
      <c r="M859" s="72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  <c r="AA859" s="75"/>
      <c r="AB859" s="75"/>
      <c r="AC859" s="75"/>
      <c r="AD859" s="75"/>
      <c r="AE859" s="75"/>
      <c r="AF859" s="75"/>
      <c r="AG859" s="75"/>
    </row>
    <row r="860" spans="1:33" s="16" customFormat="1" ht="33" customHeight="1">
      <c r="A860" s="23" t="s">
        <v>1387</v>
      </c>
      <c r="B860" s="25" t="s">
        <v>300</v>
      </c>
      <c r="C860" s="23" t="s">
        <v>104</v>
      </c>
      <c r="D860" s="23" t="s">
        <v>79</v>
      </c>
      <c r="E860" s="23" t="s">
        <v>376</v>
      </c>
      <c r="F860" s="23" t="s">
        <v>180</v>
      </c>
      <c r="G860" s="58">
        <v>1602.8</v>
      </c>
      <c r="H860" s="58">
        <f>1602.8+50.5</f>
        <v>1653.3</v>
      </c>
      <c r="I860" s="58">
        <v>1653.3</v>
      </c>
      <c r="J860" s="77">
        <f t="shared" si="163"/>
        <v>100</v>
      </c>
      <c r="K860" s="49"/>
      <c r="L860" s="50"/>
      <c r="M860" s="72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  <c r="AA860" s="75"/>
      <c r="AB860" s="75"/>
      <c r="AC860" s="75"/>
      <c r="AD860" s="75"/>
      <c r="AE860" s="75"/>
      <c r="AF860" s="75"/>
      <c r="AG860" s="75"/>
    </row>
    <row r="861" spans="1:33" s="16" customFormat="1" ht="32.25" customHeight="1">
      <c r="A861" s="23" t="s">
        <v>1388</v>
      </c>
      <c r="B861" s="22" t="s">
        <v>144</v>
      </c>
      <c r="C861" s="23" t="s">
        <v>104</v>
      </c>
      <c r="D861" s="23" t="s">
        <v>79</v>
      </c>
      <c r="E861" s="23" t="s">
        <v>376</v>
      </c>
      <c r="F861" s="23" t="s">
        <v>109</v>
      </c>
      <c r="G861" s="58">
        <f>G862</f>
        <v>315.5</v>
      </c>
      <c r="H861" s="58">
        <f>H862</f>
        <v>315.5</v>
      </c>
      <c r="I861" s="58">
        <f>I862</f>
        <v>315.5</v>
      </c>
      <c r="J861" s="77">
        <f t="shared" si="163"/>
        <v>100</v>
      </c>
      <c r="K861" s="49"/>
      <c r="L861" s="50"/>
      <c r="M861" s="72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  <c r="AA861" s="75"/>
      <c r="AB861" s="75"/>
      <c r="AC861" s="75"/>
      <c r="AD861" s="75"/>
      <c r="AE861" s="75"/>
      <c r="AF861" s="75"/>
      <c r="AG861" s="75"/>
    </row>
    <row r="862" spans="1:33" s="16" customFormat="1" ht="33.75" customHeight="1">
      <c r="A862" s="23" t="s">
        <v>1389</v>
      </c>
      <c r="B862" s="22" t="s">
        <v>145</v>
      </c>
      <c r="C862" s="23" t="s">
        <v>104</v>
      </c>
      <c r="D862" s="23" t="s">
        <v>79</v>
      </c>
      <c r="E862" s="23" t="s">
        <v>376</v>
      </c>
      <c r="F862" s="23" t="s">
        <v>102</v>
      </c>
      <c r="G862" s="58">
        <v>315.5</v>
      </c>
      <c r="H862" s="58">
        <v>315.5</v>
      </c>
      <c r="I862" s="58">
        <v>315.5</v>
      </c>
      <c r="J862" s="77">
        <f t="shared" si="163"/>
        <v>100</v>
      </c>
      <c r="K862" s="49"/>
      <c r="L862" s="50"/>
      <c r="M862" s="72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>
        <v>-100</v>
      </c>
      <c r="Y862" s="75"/>
      <c r="Z862" s="75"/>
      <c r="AA862" s="75"/>
      <c r="AB862" s="75"/>
      <c r="AC862" s="75"/>
      <c r="AD862" s="75"/>
      <c r="AE862" s="75"/>
      <c r="AF862" s="75"/>
      <c r="AG862" s="75"/>
    </row>
    <row r="863" spans="1:33" s="3" customFormat="1" ht="83.25" customHeight="1">
      <c r="A863" s="23" t="s">
        <v>1390</v>
      </c>
      <c r="B863" s="24" t="s">
        <v>593</v>
      </c>
      <c r="C863" s="23" t="s">
        <v>104</v>
      </c>
      <c r="D863" s="23" t="s">
        <v>79</v>
      </c>
      <c r="E863" s="23" t="s">
        <v>808</v>
      </c>
      <c r="F863" s="23"/>
      <c r="G863" s="58">
        <f>SUM(G864+G866)</f>
        <v>150</v>
      </c>
      <c r="H863" s="58">
        <f>SUM(H864+H866)</f>
        <v>149.2</v>
      </c>
      <c r="I863" s="58">
        <f>SUM(I864+I866)</f>
        <v>149.2</v>
      </c>
      <c r="J863" s="77">
        <f t="shared" si="163"/>
        <v>100</v>
      </c>
      <c r="K863" s="49"/>
      <c r="L863" s="50"/>
      <c r="M863" s="72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  <c r="AA863" s="75"/>
      <c r="AB863" s="75"/>
      <c r="AC863" s="75"/>
      <c r="AD863" s="75"/>
      <c r="AE863" s="75"/>
      <c r="AF863" s="75"/>
      <c r="AG863" s="75"/>
    </row>
    <row r="864" spans="1:33" s="5" customFormat="1" ht="34.5" customHeight="1">
      <c r="A864" s="23" t="s">
        <v>1391</v>
      </c>
      <c r="B864" s="22" t="s">
        <v>144</v>
      </c>
      <c r="C864" s="23" t="s">
        <v>104</v>
      </c>
      <c r="D864" s="23" t="s">
        <v>79</v>
      </c>
      <c r="E864" s="23" t="s">
        <v>808</v>
      </c>
      <c r="F864" s="23" t="s">
        <v>109</v>
      </c>
      <c r="G864" s="58">
        <f>SUM(G865)</f>
        <v>150</v>
      </c>
      <c r="H864" s="58">
        <f>SUM(H865)</f>
        <v>56</v>
      </c>
      <c r="I864" s="58">
        <f>SUM(I865)</f>
        <v>56</v>
      </c>
      <c r="J864" s="77">
        <f t="shared" si="163"/>
        <v>100</v>
      </c>
      <c r="K864" s="47"/>
      <c r="L864" s="48">
        <v>4782.6</v>
      </c>
      <c r="M864" s="86"/>
      <c r="N864" s="83"/>
      <c r="O864" s="83"/>
      <c r="P864" s="83"/>
      <c r="Q864" s="83"/>
      <c r="R864" s="83"/>
      <c r="S864" s="83"/>
      <c r="T864" s="83"/>
      <c r="U864" s="43">
        <v>5384.7</v>
      </c>
      <c r="V864" s="83"/>
      <c r="W864" s="83"/>
      <c r="X864" s="83"/>
      <c r="Y864" s="83"/>
      <c r="Z864" s="83"/>
      <c r="AA864" s="83"/>
      <c r="AB864" s="83"/>
      <c r="AC864" s="83"/>
      <c r="AD864" s="83"/>
      <c r="AE864" s="83"/>
      <c r="AF864" s="83"/>
      <c r="AG864" s="83"/>
    </row>
    <row r="865" spans="1:33" s="4" customFormat="1" ht="33.75" customHeight="1">
      <c r="A865" s="23" t="s">
        <v>1392</v>
      </c>
      <c r="B865" s="22" t="s">
        <v>145</v>
      </c>
      <c r="C865" s="23" t="s">
        <v>104</v>
      </c>
      <c r="D865" s="23" t="s">
        <v>79</v>
      </c>
      <c r="E865" s="23" t="s">
        <v>808</v>
      </c>
      <c r="F865" s="23" t="s">
        <v>102</v>
      </c>
      <c r="G865" s="58">
        <v>150</v>
      </c>
      <c r="H865" s="58">
        <f>150-94</f>
        <v>56</v>
      </c>
      <c r="I865" s="58">
        <v>56</v>
      </c>
      <c r="J865" s="77">
        <f t="shared" si="163"/>
        <v>100</v>
      </c>
      <c r="K865" s="51"/>
      <c r="L865" s="46"/>
      <c r="M865" s="74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>
        <v>150</v>
      </c>
      <c r="AA865" s="65"/>
      <c r="AB865" s="43">
        <v>150</v>
      </c>
      <c r="AC865" s="65"/>
      <c r="AD865" s="65"/>
      <c r="AE865" s="65"/>
      <c r="AF865" s="43">
        <v>-94</v>
      </c>
      <c r="AG865" s="65"/>
    </row>
    <row r="866" spans="1:33" s="4" customFormat="1" ht="33.75" customHeight="1">
      <c r="A866" s="23" t="s">
        <v>1393</v>
      </c>
      <c r="B866" s="22" t="s">
        <v>270</v>
      </c>
      <c r="C866" s="23" t="s">
        <v>104</v>
      </c>
      <c r="D866" s="23" t="s">
        <v>79</v>
      </c>
      <c r="E866" s="23" t="s">
        <v>808</v>
      </c>
      <c r="F866" s="23" t="s">
        <v>163</v>
      </c>
      <c r="G866" s="58">
        <f>G867</f>
        <v>0</v>
      </c>
      <c r="H866" s="58">
        <f>H867</f>
        <v>93.2</v>
      </c>
      <c r="I866" s="58">
        <f>I867</f>
        <v>93.2</v>
      </c>
      <c r="J866" s="77">
        <f t="shared" si="163"/>
        <v>100</v>
      </c>
      <c r="K866" s="51"/>
      <c r="L866" s="46"/>
      <c r="M866" s="74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  <c r="AA866" s="65"/>
      <c r="AB866" s="43"/>
      <c r="AC866" s="65"/>
      <c r="AD866" s="65"/>
      <c r="AE866" s="65"/>
      <c r="AF866" s="43"/>
      <c r="AG866" s="65"/>
    </row>
    <row r="867" spans="1:33" s="4" customFormat="1" ht="33.75" customHeight="1">
      <c r="A867" s="23" t="s">
        <v>1394</v>
      </c>
      <c r="B867" s="22" t="s">
        <v>165</v>
      </c>
      <c r="C867" s="23" t="s">
        <v>104</v>
      </c>
      <c r="D867" s="23" t="s">
        <v>79</v>
      </c>
      <c r="E867" s="23" t="s">
        <v>808</v>
      </c>
      <c r="F867" s="23" t="s">
        <v>164</v>
      </c>
      <c r="G867" s="58">
        <v>0</v>
      </c>
      <c r="H867" s="58">
        <v>93.2</v>
      </c>
      <c r="I867" s="58">
        <v>93.2</v>
      </c>
      <c r="J867" s="77">
        <f t="shared" si="163"/>
        <v>100</v>
      </c>
      <c r="K867" s="51"/>
      <c r="L867" s="46"/>
      <c r="M867" s="74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  <c r="AA867" s="65"/>
      <c r="AB867" s="43"/>
      <c r="AC867" s="65"/>
      <c r="AD867" s="65"/>
      <c r="AE867" s="65"/>
      <c r="AF867" s="43">
        <v>93.2</v>
      </c>
      <c r="AG867" s="65"/>
    </row>
    <row r="868" spans="1:33" ht="35.25" customHeight="1">
      <c r="A868" s="23" t="s">
        <v>1395</v>
      </c>
      <c r="B868" s="24" t="s">
        <v>234</v>
      </c>
      <c r="C868" s="23" t="s">
        <v>104</v>
      </c>
      <c r="D868" s="23" t="s">
        <v>79</v>
      </c>
      <c r="E868" s="23" t="s">
        <v>360</v>
      </c>
      <c r="F868" s="23"/>
      <c r="G868" s="58">
        <f>G889+G869+G876+G883+G886</f>
        <v>11771.1</v>
      </c>
      <c r="H868" s="58">
        <f>H889+H869+H876+H883+H886</f>
        <v>12031.2</v>
      </c>
      <c r="I868" s="58">
        <f>I889+I869+I876+I883+I886</f>
        <v>12007.800000000001</v>
      </c>
      <c r="J868" s="77">
        <f t="shared" si="163"/>
        <v>99.80550568521844</v>
      </c>
      <c r="K868" s="58"/>
      <c r="L868" s="59"/>
      <c r="M868" s="91"/>
      <c r="N868" s="44">
        <f>-33.6-9.4</f>
        <v>-43</v>
      </c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</row>
    <row r="869" spans="1:33" ht="72" customHeight="1">
      <c r="A869" s="23" t="s">
        <v>1396</v>
      </c>
      <c r="B869" s="104" t="s">
        <v>799</v>
      </c>
      <c r="C869" s="23" t="s">
        <v>104</v>
      </c>
      <c r="D869" s="23" t="s">
        <v>79</v>
      </c>
      <c r="E869" s="23" t="s">
        <v>361</v>
      </c>
      <c r="F869" s="23"/>
      <c r="G869" s="58">
        <f>G870+G872+G874</f>
        <v>6654.8</v>
      </c>
      <c r="H869" s="58">
        <f>H870+H872+H874</f>
        <v>6669.900000000001</v>
      </c>
      <c r="I869" s="58">
        <f>I870+I872+I874</f>
        <v>6653.8</v>
      </c>
      <c r="J869" s="77">
        <f t="shared" si="163"/>
        <v>99.75861707072069</v>
      </c>
      <c r="K869" s="60"/>
      <c r="L869" s="59"/>
      <c r="M869" s="91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>
        <v>5593.1</v>
      </c>
      <c r="AA869" s="44"/>
      <c r="AB869" s="44">
        <v>6654.8</v>
      </c>
      <c r="AC869" s="44"/>
      <c r="AD869" s="44"/>
      <c r="AE869" s="44"/>
      <c r="AF869" s="44"/>
      <c r="AG869" s="44"/>
    </row>
    <row r="870" spans="1:33" ht="58.5" customHeight="1">
      <c r="A870" s="23" t="s">
        <v>1397</v>
      </c>
      <c r="B870" s="25" t="s">
        <v>181</v>
      </c>
      <c r="C870" s="23" t="s">
        <v>104</v>
      </c>
      <c r="D870" s="23" t="s">
        <v>79</v>
      </c>
      <c r="E870" s="23" t="s">
        <v>361</v>
      </c>
      <c r="F870" s="23" t="s">
        <v>179</v>
      </c>
      <c r="G870" s="58">
        <f>G871</f>
        <v>4693.1</v>
      </c>
      <c r="H870" s="58">
        <f>H871</f>
        <v>4693.1</v>
      </c>
      <c r="I870" s="58">
        <f>I871</f>
        <v>4693.1</v>
      </c>
      <c r="J870" s="77">
        <f t="shared" si="163"/>
        <v>100</v>
      </c>
      <c r="K870" s="58"/>
      <c r="L870" s="59"/>
      <c r="M870" s="91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</row>
    <row r="871" spans="1:33" ht="21" customHeight="1">
      <c r="A871" s="23" t="s">
        <v>1398</v>
      </c>
      <c r="B871" s="25" t="s">
        <v>182</v>
      </c>
      <c r="C871" s="23" t="s">
        <v>104</v>
      </c>
      <c r="D871" s="23" t="s">
        <v>79</v>
      </c>
      <c r="E871" s="23" t="s">
        <v>361</v>
      </c>
      <c r="F871" s="23" t="s">
        <v>211</v>
      </c>
      <c r="G871" s="58">
        <v>4693.1</v>
      </c>
      <c r="H871" s="58">
        <v>4693.1</v>
      </c>
      <c r="I871" s="58">
        <v>4693.1</v>
      </c>
      <c r="J871" s="77">
        <f t="shared" si="163"/>
        <v>100</v>
      </c>
      <c r="K871" s="58"/>
      <c r="L871" s="59"/>
      <c r="M871" s="91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</row>
    <row r="872" spans="1:33" ht="33" customHeight="1">
      <c r="A872" s="23" t="s">
        <v>1399</v>
      </c>
      <c r="B872" s="22" t="s">
        <v>144</v>
      </c>
      <c r="C872" s="23" t="s">
        <v>104</v>
      </c>
      <c r="D872" s="23" t="s">
        <v>79</v>
      </c>
      <c r="E872" s="23" t="s">
        <v>361</v>
      </c>
      <c r="F872" s="23" t="s">
        <v>109</v>
      </c>
      <c r="G872" s="58">
        <f>G873</f>
        <v>1952.7</v>
      </c>
      <c r="H872" s="58">
        <f>H873</f>
        <v>1973.6</v>
      </c>
      <c r="I872" s="58">
        <f>I873</f>
        <v>1958.3</v>
      </c>
      <c r="J872" s="77">
        <f t="shared" si="163"/>
        <v>99.22476692338873</v>
      </c>
      <c r="K872" s="58"/>
      <c r="L872" s="59"/>
      <c r="M872" s="91"/>
      <c r="N872" s="44">
        <v>33.6</v>
      </c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</row>
    <row r="873" spans="1:33" ht="30" customHeight="1">
      <c r="A873" s="23" t="s">
        <v>1400</v>
      </c>
      <c r="B873" s="22" t="s">
        <v>145</v>
      </c>
      <c r="C873" s="23" t="s">
        <v>104</v>
      </c>
      <c r="D873" s="23" t="s">
        <v>79</v>
      </c>
      <c r="E873" s="23" t="s">
        <v>361</v>
      </c>
      <c r="F873" s="23" t="s">
        <v>102</v>
      </c>
      <c r="G873" s="58">
        <v>1952.7</v>
      </c>
      <c r="H873" s="58">
        <v>1973.6</v>
      </c>
      <c r="I873" s="58">
        <v>1958.3</v>
      </c>
      <c r="J873" s="77">
        <f t="shared" si="163"/>
        <v>99.22476692338873</v>
      </c>
      <c r="K873" s="60"/>
      <c r="L873" s="60">
        <v>3051</v>
      </c>
      <c r="M873" s="91"/>
      <c r="N873" s="44"/>
      <c r="O873" s="44"/>
      <c r="P873" s="44"/>
      <c r="Q873" s="44"/>
      <c r="R873" s="44"/>
      <c r="S873" s="44"/>
      <c r="T873" s="44"/>
      <c r="U873" s="44">
        <v>3529.4</v>
      </c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>
        <f>22.5-1.7</f>
        <v>20.8</v>
      </c>
      <c r="AG873" s="44"/>
    </row>
    <row r="874" spans="1:33" ht="17.25" customHeight="1">
      <c r="A874" s="23" t="s">
        <v>1401</v>
      </c>
      <c r="B874" s="25" t="s">
        <v>198</v>
      </c>
      <c r="C874" s="23" t="s">
        <v>104</v>
      </c>
      <c r="D874" s="23" t="s">
        <v>79</v>
      </c>
      <c r="E874" s="23" t="s">
        <v>361</v>
      </c>
      <c r="F874" s="23" t="s">
        <v>201</v>
      </c>
      <c r="G874" s="58">
        <f>SUM(G875)</f>
        <v>9</v>
      </c>
      <c r="H874" s="58">
        <f>SUM(H875)</f>
        <v>3.2</v>
      </c>
      <c r="I874" s="58">
        <f>SUM(I875)</f>
        <v>2.4</v>
      </c>
      <c r="J874" s="77">
        <f t="shared" si="163"/>
        <v>74.99999999999999</v>
      </c>
      <c r="K874" s="60"/>
      <c r="L874" s="59"/>
      <c r="M874" s="91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</row>
    <row r="875" spans="1:33" ht="21" customHeight="1">
      <c r="A875" s="23" t="s">
        <v>1402</v>
      </c>
      <c r="B875" s="25" t="s">
        <v>199</v>
      </c>
      <c r="C875" s="23" t="s">
        <v>104</v>
      </c>
      <c r="D875" s="23" t="s">
        <v>79</v>
      </c>
      <c r="E875" s="23" t="s">
        <v>361</v>
      </c>
      <c r="F875" s="23" t="s">
        <v>202</v>
      </c>
      <c r="G875" s="58">
        <v>9</v>
      </c>
      <c r="H875" s="58">
        <f>9-7.5+1.7</f>
        <v>3.2</v>
      </c>
      <c r="I875" s="58">
        <v>2.4</v>
      </c>
      <c r="J875" s="77">
        <f t="shared" si="163"/>
        <v>74.99999999999999</v>
      </c>
      <c r="K875" s="58"/>
      <c r="L875" s="59"/>
      <c r="M875" s="91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>
        <f>-7.5+1.7</f>
        <v>-5.8</v>
      </c>
      <c r="AG875" s="44"/>
    </row>
    <row r="876" spans="1:33" ht="69.75" customHeight="1">
      <c r="A876" s="23" t="s">
        <v>1403</v>
      </c>
      <c r="B876" s="22" t="s">
        <v>184</v>
      </c>
      <c r="C876" s="23" t="s">
        <v>104</v>
      </c>
      <c r="D876" s="23" t="s">
        <v>79</v>
      </c>
      <c r="E876" s="23" t="s">
        <v>362</v>
      </c>
      <c r="F876" s="23"/>
      <c r="G876" s="58">
        <f>G877+G879+G881</f>
        <v>4571.3</v>
      </c>
      <c r="H876" s="58">
        <f>H877+H879+H881</f>
        <v>4566.3</v>
      </c>
      <c r="I876" s="58">
        <f>I877+I879+I881</f>
        <v>4566.3</v>
      </c>
      <c r="J876" s="77">
        <f t="shared" si="163"/>
        <v>100</v>
      </c>
      <c r="K876" s="60"/>
      <c r="L876" s="59"/>
      <c r="M876" s="91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>
        <v>3938.9</v>
      </c>
      <c r="AA876" s="44"/>
      <c r="AB876" s="44">
        <v>4571.3</v>
      </c>
      <c r="AC876" s="44"/>
      <c r="AD876" s="44"/>
      <c r="AE876" s="44"/>
      <c r="AF876" s="44"/>
      <c r="AG876" s="44"/>
    </row>
    <row r="877" spans="1:33" ht="58.5" customHeight="1">
      <c r="A877" s="23" t="s">
        <v>1404</v>
      </c>
      <c r="B877" s="25" t="s">
        <v>181</v>
      </c>
      <c r="C877" s="23" t="s">
        <v>104</v>
      </c>
      <c r="D877" s="23" t="s">
        <v>79</v>
      </c>
      <c r="E877" s="23" t="s">
        <v>362</v>
      </c>
      <c r="F877" s="23" t="s">
        <v>179</v>
      </c>
      <c r="G877" s="58">
        <f>G878</f>
        <v>4318.3</v>
      </c>
      <c r="H877" s="58">
        <f>H878</f>
        <v>4318.3</v>
      </c>
      <c r="I877" s="58">
        <f>I878</f>
        <v>4318.3</v>
      </c>
      <c r="J877" s="77">
        <f t="shared" si="163"/>
        <v>100</v>
      </c>
      <c r="K877" s="58"/>
      <c r="L877" s="59"/>
      <c r="M877" s="91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</row>
    <row r="878" spans="1:33" ht="30.75" customHeight="1">
      <c r="A878" s="23" t="s">
        <v>226</v>
      </c>
      <c r="B878" s="25" t="s">
        <v>300</v>
      </c>
      <c r="C878" s="23" t="s">
        <v>104</v>
      </c>
      <c r="D878" s="23" t="s">
        <v>79</v>
      </c>
      <c r="E878" s="23" t="s">
        <v>362</v>
      </c>
      <c r="F878" s="23" t="s">
        <v>180</v>
      </c>
      <c r="G878" s="58">
        <v>4318.3</v>
      </c>
      <c r="H878" s="58">
        <v>4318.3</v>
      </c>
      <c r="I878" s="58">
        <v>4318.3</v>
      </c>
      <c r="J878" s="77">
        <f t="shared" si="163"/>
        <v>100</v>
      </c>
      <c r="K878" s="58"/>
      <c r="L878" s="59"/>
      <c r="M878" s="91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</row>
    <row r="879" spans="1:33" ht="30" customHeight="1">
      <c r="A879" s="23" t="s">
        <v>1405</v>
      </c>
      <c r="B879" s="22" t="s">
        <v>144</v>
      </c>
      <c r="C879" s="23" t="s">
        <v>104</v>
      </c>
      <c r="D879" s="23" t="s">
        <v>79</v>
      </c>
      <c r="E879" s="23" t="s">
        <v>362</v>
      </c>
      <c r="F879" s="23" t="s">
        <v>109</v>
      </c>
      <c r="G879" s="58">
        <f>G880</f>
        <v>248</v>
      </c>
      <c r="H879" s="58">
        <f>H880</f>
        <v>248</v>
      </c>
      <c r="I879" s="58">
        <f>I880</f>
        <v>248</v>
      </c>
      <c r="J879" s="77">
        <f t="shared" si="163"/>
        <v>100</v>
      </c>
      <c r="K879" s="58"/>
      <c r="L879" s="59"/>
      <c r="M879" s="91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</row>
    <row r="880" spans="1:33" ht="30.75" customHeight="1">
      <c r="A880" s="23" t="s">
        <v>1406</v>
      </c>
      <c r="B880" s="22" t="s">
        <v>145</v>
      </c>
      <c r="C880" s="23" t="s">
        <v>104</v>
      </c>
      <c r="D880" s="23" t="s">
        <v>79</v>
      </c>
      <c r="E880" s="23" t="s">
        <v>362</v>
      </c>
      <c r="F880" s="23" t="s">
        <v>102</v>
      </c>
      <c r="G880" s="58">
        <v>248</v>
      </c>
      <c r="H880" s="58">
        <v>248</v>
      </c>
      <c r="I880" s="58">
        <v>248</v>
      </c>
      <c r="J880" s="77">
        <f t="shared" si="163"/>
        <v>100</v>
      </c>
      <c r="K880" s="60"/>
      <c r="L880" s="59"/>
      <c r="M880" s="91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</row>
    <row r="881" spans="1:33" ht="20.25" customHeight="1">
      <c r="A881" s="23" t="s">
        <v>1407</v>
      </c>
      <c r="B881" s="25" t="s">
        <v>198</v>
      </c>
      <c r="C881" s="23" t="s">
        <v>104</v>
      </c>
      <c r="D881" s="23" t="s">
        <v>79</v>
      </c>
      <c r="E881" s="23" t="s">
        <v>362</v>
      </c>
      <c r="F881" s="23" t="s">
        <v>201</v>
      </c>
      <c r="G881" s="58">
        <f>G882</f>
        <v>5</v>
      </c>
      <c r="H881" s="58">
        <f>H882</f>
        <v>0</v>
      </c>
      <c r="I881" s="58">
        <f>I882</f>
        <v>0</v>
      </c>
      <c r="J881" s="77">
        <v>0</v>
      </c>
      <c r="K881" s="60"/>
      <c r="L881" s="59"/>
      <c r="M881" s="91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</row>
    <row r="882" spans="1:33" ht="28.5" customHeight="1">
      <c r="A882" s="23" t="s">
        <v>1408</v>
      </c>
      <c r="B882" s="25" t="s">
        <v>199</v>
      </c>
      <c r="C882" s="23" t="s">
        <v>104</v>
      </c>
      <c r="D882" s="23" t="s">
        <v>79</v>
      </c>
      <c r="E882" s="23" t="s">
        <v>362</v>
      </c>
      <c r="F882" s="23" t="s">
        <v>202</v>
      </c>
      <c r="G882" s="58">
        <v>5</v>
      </c>
      <c r="H882" s="58">
        <f>5-5</f>
        <v>0</v>
      </c>
      <c r="I882" s="58">
        <v>0</v>
      </c>
      <c r="J882" s="77">
        <v>0</v>
      </c>
      <c r="K882" s="58"/>
      <c r="L882" s="66">
        <v>70.3</v>
      </c>
      <c r="M882" s="92">
        <v>130</v>
      </c>
      <c r="N882" s="44"/>
      <c r="O882" s="44"/>
      <c r="P882" s="44"/>
      <c r="Q882" s="44"/>
      <c r="R882" s="44"/>
      <c r="S882" s="44"/>
      <c r="T882" s="44"/>
      <c r="U882" s="44">
        <v>213</v>
      </c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>
        <v>-5</v>
      </c>
      <c r="AG882" s="44"/>
    </row>
    <row r="883" spans="1:33" ht="99" customHeight="1">
      <c r="A883" s="23" t="s">
        <v>1409</v>
      </c>
      <c r="B883" s="22" t="s">
        <v>187</v>
      </c>
      <c r="C883" s="23" t="s">
        <v>104</v>
      </c>
      <c r="D883" s="23" t="s">
        <v>79</v>
      </c>
      <c r="E883" s="23" t="s">
        <v>589</v>
      </c>
      <c r="F883" s="23"/>
      <c r="G883" s="58">
        <f aca="true" t="shared" si="168" ref="G883:I884">G884</f>
        <v>445</v>
      </c>
      <c r="H883" s="58">
        <f t="shared" si="168"/>
        <v>445</v>
      </c>
      <c r="I883" s="58">
        <f t="shared" si="168"/>
        <v>437.7</v>
      </c>
      <c r="J883" s="77">
        <f t="shared" si="163"/>
        <v>98.35955056179775</v>
      </c>
      <c r="K883" s="58"/>
      <c r="L883" s="66"/>
      <c r="M883" s="92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>
        <v>375.2</v>
      </c>
      <c r="AA883" s="44"/>
      <c r="AB883" s="44"/>
      <c r="AC883" s="44"/>
      <c r="AD883" s="44"/>
      <c r="AE883" s="44"/>
      <c r="AF883" s="44"/>
      <c r="AG883" s="44"/>
    </row>
    <row r="884" spans="1:33" ht="57.75" customHeight="1">
      <c r="A884" s="23" t="s">
        <v>1410</v>
      </c>
      <c r="B884" s="25" t="s">
        <v>181</v>
      </c>
      <c r="C884" s="23" t="s">
        <v>104</v>
      </c>
      <c r="D884" s="23" t="s">
        <v>79</v>
      </c>
      <c r="E884" s="23" t="s">
        <v>589</v>
      </c>
      <c r="F884" s="23" t="s">
        <v>179</v>
      </c>
      <c r="G884" s="58">
        <f t="shared" si="168"/>
        <v>445</v>
      </c>
      <c r="H884" s="58">
        <f t="shared" si="168"/>
        <v>445</v>
      </c>
      <c r="I884" s="58">
        <f t="shared" si="168"/>
        <v>437.7</v>
      </c>
      <c r="J884" s="77">
        <f t="shared" si="163"/>
        <v>98.35955056179775</v>
      </c>
      <c r="K884" s="58"/>
      <c r="L884" s="66"/>
      <c r="M884" s="92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</row>
    <row r="885" spans="1:33" ht="31.5" customHeight="1">
      <c r="A885" s="23" t="s">
        <v>1411</v>
      </c>
      <c r="B885" s="25" t="s">
        <v>182</v>
      </c>
      <c r="C885" s="23" t="s">
        <v>104</v>
      </c>
      <c r="D885" s="23" t="s">
        <v>79</v>
      </c>
      <c r="E885" s="23" t="s">
        <v>589</v>
      </c>
      <c r="F885" s="23" t="s">
        <v>211</v>
      </c>
      <c r="G885" s="58">
        <v>445</v>
      </c>
      <c r="H885" s="58">
        <v>445</v>
      </c>
      <c r="I885" s="58">
        <v>437.7</v>
      </c>
      <c r="J885" s="77">
        <f t="shared" si="163"/>
        <v>98.35955056179775</v>
      </c>
      <c r="K885" s="58"/>
      <c r="L885" s="66"/>
      <c r="M885" s="92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>
        <v>445</v>
      </c>
      <c r="AC885" s="44"/>
      <c r="AD885" s="44"/>
      <c r="AE885" s="44"/>
      <c r="AF885" s="44"/>
      <c r="AG885" s="44"/>
    </row>
    <row r="886" spans="1:33" ht="81" customHeight="1">
      <c r="A886" s="23" t="s">
        <v>1412</v>
      </c>
      <c r="B886" s="121" t="s">
        <v>1478</v>
      </c>
      <c r="C886" s="23" t="s">
        <v>104</v>
      </c>
      <c r="D886" s="23" t="s">
        <v>79</v>
      </c>
      <c r="E886" s="23" t="s">
        <v>1477</v>
      </c>
      <c r="F886" s="23"/>
      <c r="G886" s="58">
        <f aca="true" t="shared" si="169" ref="G886:I887">G887</f>
        <v>0</v>
      </c>
      <c r="H886" s="58">
        <f t="shared" si="169"/>
        <v>250</v>
      </c>
      <c r="I886" s="58">
        <f t="shared" si="169"/>
        <v>250</v>
      </c>
      <c r="J886" s="77">
        <f t="shared" si="163"/>
        <v>100</v>
      </c>
      <c r="K886" s="58"/>
      <c r="L886" s="66"/>
      <c r="M886" s="92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</row>
    <row r="887" spans="1:33" ht="51" customHeight="1">
      <c r="A887" s="23" t="s">
        <v>1413</v>
      </c>
      <c r="B887" s="121" t="s">
        <v>181</v>
      </c>
      <c r="C887" s="23" t="s">
        <v>104</v>
      </c>
      <c r="D887" s="23" t="s">
        <v>79</v>
      </c>
      <c r="E887" s="23" t="s">
        <v>1477</v>
      </c>
      <c r="F887" s="23" t="s">
        <v>179</v>
      </c>
      <c r="G887" s="58">
        <f t="shared" si="169"/>
        <v>0</v>
      </c>
      <c r="H887" s="58">
        <f t="shared" si="169"/>
        <v>250</v>
      </c>
      <c r="I887" s="58">
        <f t="shared" si="169"/>
        <v>250</v>
      </c>
      <c r="J887" s="77">
        <f t="shared" si="163"/>
        <v>100</v>
      </c>
      <c r="K887" s="58"/>
      <c r="L887" s="66"/>
      <c r="M887" s="92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</row>
    <row r="888" spans="1:33" ht="31.5" customHeight="1">
      <c r="A888" s="23" t="s">
        <v>1414</v>
      </c>
      <c r="B888" s="121" t="s">
        <v>182</v>
      </c>
      <c r="C888" s="23" t="s">
        <v>104</v>
      </c>
      <c r="D888" s="23" t="s">
        <v>79</v>
      </c>
      <c r="E888" s="23" t="s">
        <v>1477</v>
      </c>
      <c r="F888" s="23" t="s">
        <v>211</v>
      </c>
      <c r="G888" s="58">
        <v>0</v>
      </c>
      <c r="H888" s="58">
        <v>250</v>
      </c>
      <c r="I888" s="58">
        <v>250</v>
      </c>
      <c r="J888" s="77">
        <f t="shared" si="163"/>
        <v>100</v>
      </c>
      <c r="K888" s="58"/>
      <c r="L888" s="66"/>
      <c r="M888" s="92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>
        <v>250</v>
      </c>
      <c r="AG888" s="44"/>
    </row>
    <row r="889" spans="1:33" ht="74.25" customHeight="1">
      <c r="A889" s="23" t="s">
        <v>1415</v>
      </c>
      <c r="B889" s="22" t="s">
        <v>507</v>
      </c>
      <c r="C889" s="23" t="s">
        <v>104</v>
      </c>
      <c r="D889" s="23" t="s">
        <v>79</v>
      </c>
      <c r="E889" s="23" t="s">
        <v>800</v>
      </c>
      <c r="F889" s="23"/>
      <c r="G889" s="58">
        <f aca="true" t="shared" si="170" ref="G889:I890">G890</f>
        <v>100</v>
      </c>
      <c r="H889" s="58">
        <f t="shared" si="170"/>
        <v>100</v>
      </c>
      <c r="I889" s="58">
        <f t="shared" si="170"/>
        <v>100</v>
      </c>
      <c r="J889" s="77">
        <f t="shared" si="163"/>
        <v>100</v>
      </c>
      <c r="K889" s="60"/>
      <c r="L889" s="59"/>
      <c r="M889" s="91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>
        <v>100</v>
      </c>
      <c r="AA889" s="44"/>
      <c r="AB889" s="44">
        <v>100</v>
      </c>
      <c r="AC889" s="44"/>
      <c r="AD889" s="44"/>
      <c r="AE889" s="44"/>
      <c r="AF889" s="44"/>
      <c r="AG889" s="44"/>
    </row>
    <row r="890" spans="1:33" ht="34.5" customHeight="1">
      <c r="A890" s="23" t="s">
        <v>1416</v>
      </c>
      <c r="B890" s="22" t="s">
        <v>144</v>
      </c>
      <c r="C890" s="23" t="s">
        <v>104</v>
      </c>
      <c r="D890" s="23" t="s">
        <v>79</v>
      </c>
      <c r="E890" s="23" t="s">
        <v>800</v>
      </c>
      <c r="F890" s="23" t="s">
        <v>109</v>
      </c>
      <c r="G890" s="58">
        <f t="shared" si="170"/>
        <v>100</v>
      </c>
      <c r="H890" s="58">
        <f t="shared" si="170"/>
        <v>100</v>
      </c>
      <c r="I890" s="58">
        <f t="shared" si="170"/>
        <v>100</v>
      </c>
      <c r="J890" s="77">
        <f aca="true" t="shared" si="171" ref="J890:J921">I890/H890*100</f>
        <v>100</v>
      </c>
      <c r="K890" s="60"/>
      <c r="L890" s="59"/>
      <c r="M890" s="91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</row>
    <row r="891" spans="1:33" ht="30" customHeight="1">
      <c r="A891" s="23" t="s">
        <v>1417</v>
      </c>
      <c r="B891" s="22" t="s">
        <v>145</v>
      </c>
      <c r="C891" s="23" t="s">
        <v>104</v>
      </c>
      <c r="D891" s="23" t="s">
        <v>79</v>
      </c>
      <c r="E891" s="23" t="s">
        <v>800</v>
      </c>
      <c r="F891" s="23" t="s">
        <v>102</v>
      </c>
      <c r="G891" s="58">
        <v>100</v>
      </c>
      <c r="H891" s="58">
        <v>100</v>
      </c>
      <c r="I891" s="58">
        <v>100</v>
      </c>
      <c r="J891" s="77">
        <f t="shared" si="171"/>
        <v>100</v>
      </c>
      <c r="K891" s="60"/>
      <c r="L891" s="59"/>
      <c r="M891" s="91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</row>
    <row r="892" spans="1:33" ht="19.5" customHeight="1">
      <c r="A892" s="23" t="s">
        <v>1418</v>
      </c>
      <c r="B892" s="34" t="s">
        <v>114</v>
      </c>
      <c r="C892" s="31" t="s">
        <v>104</v>
      </c>
      <c r="D892" s="31" t="s">
        <v>105</v>
      </c>
      <c r="E892" s="31" t="s">
        <v>160</v>
      </c>
      <c r="F892" s="31" t="s">
        <v>160</v>
      </c>
      <c r="G892" s="77">
        <f>SUM(G893+G913)</f>
        <v>12157.100000000002</v>
      </c>
      <c r="H892" s="77">
        <f>SUM(H893+H913)</f>
        <v>7236.6</v>
      </c>
      <c r="I892" s="77">
        <f>SUM(I893+I913)</f>
        <v>6548.5</v>
      </c>
      <c r="J892" s="77">
        <f t="shared" si="171"/>
        <v>90.49139098471657</v>
      </c>
      <c r="K892" s="60"/>
      <c r="L892" s="59"/>
      <c r="M892" s="91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</row>
    <row r="893" spans="1:33" ht="18.75" customHeight="1">
      <c r="A893" s="23" t="s">
        <v>1419</v>
      </c>
      <c r="B893" s="35" t="s">
        <v>246</v>
      </c>
      <c r="C893" s="36" t="s">
        <v>104</v>
      </c>
      <c r="D893" s="36" t="s">
        <v>247</v>
      </c>
      <c r="E893" s="36" t="s">
        <v>160</v>
      </c>
      <c r="F893" s="36" t="s">
        <v>160</v>
      </c>
      <c r="G893" s="78">
        <f aca="true" t="shared" si="172" ref="G893:I894">G894</f>
        <v>11862.400000000001</v>
      </c>
      <c r="H893" s="78">
        <f t="shared" si="172"/>
        <v>7171.6</v>
      </c>
      <c r="I893" s="78">
        <f t="shared" si="172"/>
        <v>6490.1</v>
      </c>
      <c r="J893" s="77">
        <f t="shared" si="171"/>
        <v>90.49723910982208</v>
      </c>
      <c r="K893" s="60"/>
      <c r="L893" s="59"/>
      <c r="M893" s="91"/>
      <c r="N893" s="44"/>
      <c r="O893" s="44"/>
      <c r="P893" s="44"/>
      <c r="Q893" s="44"/>
      <c r="R893" s="44"/>
      <c r="S893" s="44"/>
      <c r="T893" s="44">
        <v>4571.2</v>
      </c>
      <c r="U893" s="44">
        <v>4.6</v>
      </c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</row>
    <row r="894" spans="1:33" ht="30.75" customHeight="1">
      <c r="A894" s="23" t="s">
        <v>1435</v>
      </c>
      <c r="B894" s="24" t="s">
        <v>268</v>
      </c>
      <c r="C894" s="23" t="s">
        <v>104</v>
      </c>
      <c r="D894" s="23" t="s">
        <v>247</v>
      </c>
      <c r="E894" s="23" t="s">
        <v>356</v>
      </c>
      <c r="F894" s="23"/>
      <c r="G894" s="54">
        <f t="shared" si="172"/>
        <v>11862.400000000001</v>
      </c>
      <c r="H894" s="54">
        <f t="shared" si="172"/>
        <v>7171.6</v>
      </c>
      <c r="I894" s="54">
        <f t="shared" si="172"/>
        <v>6490.1</v>
      </c>
      <c r="J894" s="77">
        <f t="shared" si="171"/>
        <v>90.49723910982208</v>
      </c>
      <c r="K894" s="60"/>
      <c r="L894" s="59"/>
      <c r="M894" s="91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</row>
    <row r="895" spans="1:33" ht="32.25" customHeight="1">
      <c r="A895" s="23" t="s">
        <v>1436</v>
      </c>
      <c r="B895" s="24" t="s">
        <v>269</v>
      </c>
      <c r="C895" s="23" t="s">
        <v>104</v>
      </c>
      <c r="D895" s="23" t="s">
        <v>247</v>
      </c>
      <c r="E895" s="23" t="s">
        <v>357</v>
      </c>
      <c r="F895" s="23"/>
      <c r="G895" s="54">
        <f>G901+G906+G896</f>
        <v>11862.400000000001</v>
      </c>
      <c r="H895" s="54">
        <f>H901+H906+H896</f>
        <v>7171.6</v>
      </c>
      <c r="I895" s="54">
        <f>I901+I906+I896</f>
        <v>6490.1</v>
      </c>
      <c r="J895" s="77">
        <f t="shared" si="171"/>
        <v>90.49723910982208</v>
      </c>
      <c r="K895" s="60"/>
      <c r="L895" s="59"/>
      <c r="M895" s="91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</row>
    <row r="896" spans="1:33" ht="123.75" customHeight="1">
      <c r="A896" s="23" t="s">
        <v>1437</v>
      </c>
      <c r="B896" s="22" t="s">
        <v>655</v>
      </c>
      <c r="C896" s="23" t="s">
        <v>104</v>
      </c>
      <c r="D896" s="23" t="s">
        <v>247</v>
      </c>
      <c r="E896" s="23" t="s">
        <v>654</v>
      </c>
      <c r="F896" s="23"/>
      <c r="G896" s="54">
        <f>G897+G899</f>
        <v>4151.3</v>
      </c>
      <c r="H896" s="54">
        <f>H897+H899</f>
        <v>3238.6</v>
      </c>
      <c r="I896" s="54">
        <f>I897+I899</f>
        <v>2615.2</v>
      </c>
      <c r="J896" s="77">
        <f t="shared" si="171"/>
        <v>80.75094176496016</v>
      </c>
      <c r="K896" s="60"/>
      <c r="L896" s="59"/>
      <c r="M896" s="91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>
        <v>4.3</v>
      </c>
      <c r="AA896" s="44">
        <v>4336.1</v>
      </c>
      <c r="AB896" s="44"/>
      <c r="AC896" s="44"/>
      <c r="AD896" s="44"/>
      <c r="AE896" s="44"/>
      <c r="AF896" s="44"/>
      <c r="AG896" s="44"/>
    </row>
    <row r="897" spans="1:33" ht="33.75" customHeight="1">
      <c r="A897" s="23" t="s">
        <v>1438</v>
      </c>
      <c r="B897" s="22" t="s">
        <v>144</v>
      </c>
      <c r="C897" s="23" t="s">
        <v>104</v>
      </c>
      <c r="D897" s="23" t="s">
        <v>247</v>
      </c>
      <c r="E897" s="23" t="s">
        <v>654</v>
      </c>
      <c r="F897" s="23" t="s">
        <v>109</v>
      </c>
      <c r="G897" s="54">
        <f>G898</f>
        <v>1657</v>
      </c>
      <c r="H897" s="54">
        <f>H898</f>
        <v>1374.6</v>
      </c>
      <c r="I897" s="54">
        <f>I898</f>
        <v>1009.5</v>
      </c>
      <c r="J897" s="77">
        <f t="shared" si="171"/>
        <v>73.43954604975993</v>
      </c>
      <c r="K897" s="60"/>
      <c r="L897" s="59"/>
      <c r="M897" s="91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>
        <v>4.2</v>
      </c>
      <c r="AC897" s="44">
        <v>4147.1</v>
      </c>
      <c r="AD897" s="44"/>
      <c r="AE897" s="44"/>
      <c r="AF897" s="44"/>
      <c r="AG897" s="44"/>
    </row>
    <row r="898" spans="1:33" ht="33.75" customHeight="1">
      <c r="A898" s="23" t="s">
        <v>1439</v>
      </c>
      <c r="B898" s="22" t="s">
        <v>145</v>
      </c>
      <c r="C898" s="23" t="s">
        <v>104</v>
      </c>
      <c r="D898" s="23" t="s">
        <v>247</v>
      </c>
      <c r="E898" s="23" t="s">
        <v>654</v>
      </c>
      <c r="F898" s="23" t="s">
        <v>102</v>
      </c>
      <c r="G898" s="54">
        <v>1657</v>
      </c>
      <c r="H898" s="54">
        <v>1374.6</v>
      </c>
      <c r="I898" s="54">
        <v>1009.5</v>
      </c>
      <c r="J898" s="77">
        <f t="shared" si="171"/>
        <v>73.43954604975993</v>
      </c>
      <c r="K898" s="60">
        <v>8.4</v>
      </c>
      <c r="L898" s="59"/>
      <c r="M898" s="91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>
        <f>107.1+262.2</f>
        <v>369.29999999999995</v>
      </c>
      <c r="AE898" s="44">
        <v>0.4</v>
      </c>
      <c r="AF898" s="44"/>
      <c r="AG898" s="44">
        <v>-474.1</v>
      </c>
    </row>
    <row r="899" spans="1:33" ht="30" customHeight="1">
      <c r="A899" s="23" t="s">
        <v>1440</v>
      </c>
      <c r="B899" s="22" t="s">
        <v>270</v>
      </c>
      <c r="C899" s="23" t="s">
        <v>104</v>
      </c>
      <c r="D899" s="23" t="s">
        <v>247</v>
      </c>
      <c r="E899" s="23" t="s">
        <v>654</v>
      </c>
      <c r="F899" s="23" t="s">
        <v>163</v>
      </c>
      <c r="G899" s="54">
        <f>G900</f>
        <v>2494.3</v>
      </c>
      <c r="H899" s="54">
        <f>H900</f>
        <v>1864</v>
      </c>
      <c r="I899" s="54">
        <f>I900</f>
        <v>1605.7</v>
      </c>
      <c r="J899" s="77">
        <f t="shared" si="171"/>
        <v>86.14270386266095</v>
      </c>
      <c r="K899" s="60"/>
      <c r="L899" s="59"/>
      <c r="M899" s="91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</row>
    <row r="900" spans="1:33" ht="18" customHeight="1">
      <c r="A900" s="23" t="s">
        <v>1441</v>
      </c>
      <c r="B900" s="22" t="s">
        <v>165</v>
      </c>
      <c r="C900" s="23" t="s">
        <v>104</v>
      </c>
      <c r="D900" s="23" t="s">
        <v>247</v>
      </c>
      <c r="E900" s="23" t="s">
        <v>654</v>
      </c>
      <c r="F900" s="23" t="s">
        <v>164</v>
      </c>
      <c r="G900" s="54">
        <v>2494.3</v>
      </c>
      <c r="H900" s="54">
        <v>1864</v>
      </c>
      <c r="I900" s="54">
        <v>1605.7</v>
      </c>
      <c r="J900" s="77">
        <f t="shared" si="171"/>
        <v>86.14270386266095</v>
      </c>
      <c r="K900" s="60"/>
      <c r="L900" s="59"/>
      <c r="M900" s="91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>
        <v>-515.3</v>
      </c>
    </row>
    <row r="901" spans="1:33" ht="120" customHeight="1">
      <c r="A901" s="23" t="s">
        <v>1442</v>
      </c>
      <c r="B901" s="22" t="s">
        <v>487</v>
      </c>
      <c r="C901" s="23" t="s">
        <v>104</v>
      </c>
      <c r="D901" s="23" t="s">
        <v>247</v>
      </c>
      <c r="E901" s="23" t="s">
        <v>377</v>
      </c>
      <c r="F901" s="23"/>
      <c r="G901" s="54">
        <f>G904+G902</f>
        <v>117.6</v>
      </c>
      <c r="H901" s="54">
        <f>H904+H902</f>
        <v>47</v>
      </c>
      <c r="I901" s="54">
        <f>I904+I902</f>
        <v>35.3</v>
      </c>
      <c r="J901" s="77">
        <f t="shared" si="171"/>
        <v>75.1063829787234</v>
      </c>
      <c r="K901" s="60"/>
      <c r="L901" s="59"/>
      <c r="M901" s="91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>
        <v>105.8</v>
      </c>
      <c r="AB901" s="44"/>
      <c r="AC901" s="44">
        <v>117.6</v>
      </c>
      <c r="AD901" s="44"/>
      <c r="AE901" s="44"/>
      <c r="AF901" s="44"/>
      <c r="AG901" s="44"/>
    </row>
    <row r="902" spans="1:33" ht="33.75" customHeight="1">
      <c r="A902" s="23" t="s">
        <v>1443</v>
      </c>
      <c r="B902" s="22" t="s">
        <v>144</v>
      </c>
      <c r="C902" s="23" t="s">
        <v>104</v>
      </c>
      <c r="D902" s="23" t="s">
        <v>247</v>
      </c>
      <c r="E902" s="23" t="s">
        <v>377</v>
      </c>
      <c r="F902" s="23" t="s">
        <v>109</v>
      </c>
      <c r="G902" s="54">
        <f aca="true" t="shared" si="173" ref="G902:I904">G903</f>
        <v>70.5</v>
      </c>
      <c r="H902" s="54">
        <f t="shared" si="173"/>
        <v>23.5</v>
      </c>
      <c r="I902" s="54">
        <f t="shared" si="173"/>
        <v>11.8</v>
      </c>
      <c r="J902" s="77">
        <f t="shared" si="171"/>
        <v>50.21276595744681</v>
      </c>
      <c r="K902" s="60"/>
      <c r="L902" s="59"/>
      <c r="M902" s="91"/>
      <c r="N902" s="44"/>
      <c r="O902" s="44"/>
      <c r="P902" s="44"/>
      <c r="Q902" s="44"/>
      <c r="R902" s="44"/>
      <c r="S902" s="44"/>
      <c r="T902" s="44">
        <v>94.1</v>
      </c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</row>
    <row r="903" spans="1:33" ht="32.25" customHeight="1">
      <c r="A903" s="23" t="s">
        <v>1444</v>
      </c>
      <c r="B903" s="22" t="s">
        <v>145</v>
      </c>
      <c r="C903" s="23" t="s">
        <v>104</v>
      </c>
      <c r="D903" s="23" t="s">
        <v>247</v>
      </c>
      <c r="E903" s="23" t="s">
        <v>377</v>
      </c>
      <c r="F903" s="23" t="s">
        <v>102</v>
      </c>
      <c r="G903" s="58">
        <v>70.5</v>
      </c>
      <c r="H903" s="58">
        <f>70.5-47</f>
        <v>23.5</v>
      </c>
      <c r="I903" s="58">
        <v>11.8</v>
      </c>
      <c r="J903" s="77">
        <f t="shared" si="171"/>
        <v>50.21276595744681</v>
      </c>
      <c r="K903" s="60">
        <v>5753.8</v>
      </c>
      <c r="L903" s="59"/>
      <c r="M903" s="91"/>
      <c r="N903" s="44"/>
      <c r="O903" s="44"/>
      <c r="P903" s="44"/>
      <c r="Q903" s="44"/>
      <c r="R903" s="44"/>
      <c r="S903" s="44"/>
      <c r="T903" s="44">
        <v>4621.4</v>
      </c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>
        <v>-47</v>
      </c>
    </row>
    <row r="904" spans="1:33" ht="32.25" customHeight="1">
      <c r="A904" s="23" t="s">
        <v>1445</v>
      </c>
      <c r="B904" s="22" t="s">
        <v>270</v>
      </c>
      <c r="C904" s="23" t="s">
        <v>104</v>
      </c>
      <c r="D904" s="23" t="s">
        <v>247</v>
      </c>
      <c r="E904" s="23" t="s">
        <v>377</v>
      </c>
      <c r="F904" s="23" t="s">
        <v>163</v>
      </c>
      <c r="G904" s="54">
        <f t="shared" si="173"/>
        <v>47.1</v>
      </c>
      <c r="H904" s="54">
        <f t="shared" si="173"/>
        <v>23.5</v>
      </c>
      <c r="I904" s="54">
        <f t="shared" si="173"/>
        <v>23.5</v>
      </c>
      <c r="J904" s="77">
        <f t="shared" si="171"/>
        <v>100</v>
      </c>
      <c r="K904" s="60"/>
      <c r="L904" s="59"/>
      <c r="M904" s="91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</row>
    <row r="905" spans="1:33" ht="19.5" customHeight="1">
      <c r="A905" s="23" t="s">
        <v>1446</v>
      </c>
      <c r="B905" s="22" t="s">
        <v>165</v>
      </c>
      <c r="C905" s="23" t="s">
        <v>104</v>
      </c>
      <c r="D905" s="23" t="s">
        <v>247</v>
      </c>
      <c r="E905" s="23" t="s">
        <v>377</v>
      </c>
      <c r="F905" s="23" t="s">
        <v>164</v>
      </c>
      <c r="G905" s="58">
        <v>47.1</v>
      </c>
      <c r="H905" s="58">
        <f>47.1-23.6</f>
        <v>23.5</v>
      </c>
      <c r="I905" s="58">
        <v>23.5</v>
      </c>
      <c r="J905" s="77">
        <f t="shared" si="171"/>
        <v>100</v>
      </c>
      <c r="K905" s="58"/>
      <c r="L905" s="66"/>
      <c r="M905" s="92">
        <v>-21.2</v>
      </c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>
        <v>1.3</v>
      </c>
      <c r="Z905" s="44"/>
      <c r="AA905" s="44"/>
      <c r="AB905" s="44"/>
      <c r="AC905" s="44"/>
      <c r="AD905" s="44"/>
      <c r="AE905" s="44"/>
      <c r="AF905" s="44"/>
      <c r="AG905" s="44">
        <v>-23.6</v>
      </c>
    </row>
    <row r="906" spans="1:33" ht="85.5" customHeight="1">
      <c r="A906" s="23" t="s">
        <v>1447</v>
      </c>
      <c r="B906" s="22" t="s">
        <v>489</v>
      </c>
      <c r="C906" s="23" t="s">
        <v>104</v>
      </c>
      <c r="D906" s="23" t="s">
        <v>247</v>
      </c>
      <c r="E906" s="23" t="s">
        <v>378</v>
      </c>
      <c r="F906" s="23"/>
      <c r="G906" s="54">
        <f>G907+G911+G909</f>
        <v>7593.5</v>
      </c>
      <c r="H906" s="54">
        <f>H907+H911+H909</f>
        <v>3886</v>
      </c>
      <c r="I906" s="54">
        <f>I907+I911+I909</f>
        <v>3839.6</v>
      </c>
      <c r="J906" s="77">
        <f t="shared" si="171"/>
        <v>98.80597014925372</v>
      </c>
      <c r="K906" s="60"/>
      <c r="L906" s="59"/>
      <c r="M906" s="91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>
        <v>5416.7</v>
      </c>
      <c r="AB906" s="44"/>
      <c r="AC906" s="44">
        <v>7593.5</v>
      </c>
      <c r="AD906" s="44"/>
      <c r="AE906" s="44"/>
      <c r="AF906" s="44"/>
      <c r="AG906" s="44"/>
    </row>
    <row r="907" spans="1:33" ht="31.5" customHeight="1">
      <c r="A907" s="23" t="s">
        <v>1448</v>
      </c>
      <c r="B907" s="22" t="s">
        <v>144</v>
      </c>
      <c r="C907" s="23" t="s">
        <v>104</v>
      </c>
      <c r="D907" s="23" t="s">
        <v>247</v>
      </c>
      <c r="E907" s="23" t="s">
        <v>378</v>
      </c>
      <c r="F907" s="23" t="s">
        <v>109</v>
      </c>
      <c r="G907" s="54">
        <f>G908</f>
        <v>3724.4</v>
      </c>
      <c r="H907" s="54">
        <f>H908</f>
        <v>1994.5</v>
      </c>
      <c r="I907" s="54">
        <f>I908</f>
        <v>1949</v>
      </c>
      <c r="J907" s="77">
        <f t="shared" si="171"/>
        <v>97.71872649786914</v>
      </c>
      <c r="K907" s="60"/>
      <c r="L907" s="59"/>
      <c r="M907" s="91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</row>
    <row r="908" spans="1:33" ht="30" customHeight="1">
      <c r="A908" s="23" t="s">
        <v>1449</v>
      </c>
      <c r="B908" s="22" t="s">
        <v>145</v>
      </c>
      <c r="C908" s="23" t="s">
        <v>104</v>
      </c>
      <c r="D908" s="23" t="s">
        <v>247</v>
      </c>
      <c r="E908" s="23" t="s">
        <v>378</v>
      </c>
      <c r="F908" s="23" t="s">
        <v>102</v>
      </c>
      <c r="G908" s="58">
        <v>3724.4</v>
      </c>
      <c r="H908" s="58">
        <v>1994.5</v>
      </c>
      <c r="I908" s="58">
        <v>1949</v>
      </c>
      <c r="J908" s="77">
        <f t="shared" si="171"/>
        <v>97.71872649786914</v>
      </c>
      <c r="K908" s="60"/>
      <c r="L908" s="59"/>
      <c r="M908" s="91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>
        <v>-1725.1</v>
      </c>
    </row>
    <row r="909" spans="1:33" ht="19.5" customHeight="1">
      <c r="A909" s="23" t="s">
        <v>1450</v>
      </c>
      <c r="B909" s="25" t="s">
        <v>87</v>
      </c>
      <c r="C909" s="23" t="s">
        <v>104</v>
      </c>
      <c r="D909" s="23" t="s">
        <v>247</v>
      </c>
      <c r="E909" s="23" t="s">
        <v>378</v>
      </c>
      <c r="F909" s="23" t="s">
        <v>88</v>
      </c>
      <c r="G909" s="54">
        <f>G910</f>
        <v>325</v>
      </c>
      <c r="H909" s="54">
        <f>H910</f>
        <v>90.8</v>
      </c>
      <c r="I909" s="54">
        <f>I910</f>
        <v>89.9</v>
      </c>
      <c r="J909" s="77">
        <f t="shared" si="171"/>
        <v>99.00881057268724</v>
      </c>
      <c r="K909" s="58"/>
      <c r="L909" s="59"/>
      <c r="M909" s="91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</row>
    <row r="910" spans="1:33" ht="31.5" customHeight="1">
      <c r="A910" s="23" t="s">
        <v>1451</v>
      </c>
      <c r="B910" s="25" t="s">
        <v>248</v>
      </c>
      <c r="C910" s="23" t="s">
        <v>104</v>
      </c>
      <c r="D910" s="23" t="s">
        <v>247</v>
      </c>
      <c r="E910" s="23" t="s">
        <v>378</v>
      </c>
      <c r="F910" s="23" t="s">
        <v>249</v>
      </c>
      <c r="G910" s="58">
        <v>325</v>
      </c>
      <c r="H910" s="58">
        <v>90.8</v>
      </c>
      <c r="I910" s="58">
        <v>89.9</v>
      </c>
      <c r="J910" s="77">
        <f t="shared" si="171"/>
        <v>99.00881057268724</v>
      </c>
      <c r="K910" s="60"/>
      <c r="L910" s="59"/>
      <c r="M910" s="91"/>
      <c r="N910" s="44"/>
      <c r="O910" s="44"/>
      <c r="P910" s="44"/>
      <c r="Q910" s="44"/>
      <c r="R910" s="44"/>
      <c r="S910" s="44"/>
      <c r="T910" s="44">
        <v>327.6</v>
      </c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>
        <v>-239</v>
      </c>
    </row>
    <row r="911" spans="1:33" ht="30" customHeight="1">
      <c r="A911" s="23" t="s">
        <v>1452</v>
      </c>
      <c r="B911" s="22" t="s">
        <v>270</v>
      </c>
      <c r="C911" s="23" t="s">
        <v>104</v>
      </c>
      <c r="D911" s="23" t="s">
        <v>247</v>
      </c>
      <c r="E911" s="23" t="s">
        <v>378</v>
      </c>
      <c r="F911" s="23" t="s">
        <v>163</v>
      </c>
      <c r="G911" s="54">
        <f>G912</f>
        <v>3544.1</v>
      </c>
      <c r="H911" s="54">
        <f>H912</f>
        <v>1800.6999999999998</v>
      </c>
      <c r="I911" s="54">
        <f>I912</f>
        <v>1800.7</v>
      </c>
      <c r="J911" s="77">
        <f t="shared" si="171"/>
        <v>100.00000000000003</v>
      </c>
      <c r="K911" s="60"/>
      <c r="L911" s="59"/>
      <c r="M911" s="91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</row>
    <row r="912" spans="1:33" ht="15.75" customHeight="1">
      <c r="A912" s="23" t="s">
        <v>1453</v>
      </c>
      <c r="B912" s="22" t="s">
        <v>165</v>
      </c>
      <c r="C912" s="23" t="s">
        <v>104</v>
      </c>
      <c r="D912" s="23" t="s">
        <v>247</v>
      </c>
      <c r="E912" s="23" t="s">
        <v>378</v>
      </c>
      <c r="F912" s="23" t="s">
        <v>164</v>
      </c>
      <c r="G912" s="58">
        <v>3544.1</v>
      </c>
      <c r="H912" s="58">
        <f>3544.1-1743.4</f>
        <v>1800.6999999999998</v>
      </c>
      <c r="I912" s="58">
        <v>1800.7</v>
      </c>
      <c r="J912" s="77">
        <f t="shared" si="171"/>
        <v>100.00000000000003</v>
      </c>
      <c r="K912" s="60"/>
      <c r="L912" s="59"/>
      <c r="M912" s="91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>
        <v>-1743.4</v>
      </c>
    </row>
    <row r="913" spans="1:33" ht="18.75" customHeight="1">
      <c r="A913" s="23" t="s">
        <v>1454</v>
      </c>
      <c r="B913" s="35" t="s">
        <v>250</v>
      </c>
      <c r="C913" s="36" t="s">
        <v>104</v>
      </c>
      <c r="D913" s="36" t="s">
        <v>251</v>
      </c>
      <c r="E913" s="36"/>
      <c r="F913" s="36"/>
      <c r="G913" s="78">
        <f aca="true" t="shared" si="174" ref="G913:I915">G914</f>
        <v>294.7</v>
      </c>
      <c r="H913" s="78">
        <f t="shared" si="174"/>
        <v>64.99999999999999</v>
      </c>
      <c r="I913" s="78">
        <f t="shared" si="174"/>
        <v>58.400000000000006</v>
      </c>
      <c r="J913" s="77">
        <f t="shared" si="171"/>
        <v>89.84615384615388</v>
      </c>
      <c r="K913" s="60">
        <v>296.1</v>
      </c>
      <c r="L913" s="59"/>
      <c r="M913" s="91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>
        <v>371.7</v>
      </c>
      <c r="AB913" s="44"/>
      <c r="AC913" s="44"/>
      <c r="AD913" s="44"/>
      <c r="AE913" s="44"/>
      <c r="AF913" s="44"/>
      <c r="AG913" s="44"/>
    </row>
    <row r="914" spans="1:33" ht="32.25" customHeight="1">
      <c r="A914" s="23" t="s">
        <v>1455</v>
      </c>
      <c r="B914" s="24" t="s">
        <v>268</v>
      </c>
      <c r="C914" s="23" t="s">
        <v>104</v>
      </c>
      <c r="D914" s="23" t="s">
        <v>251</v>
      </c>
      <c r="E914" s="23" t="s">
        <v>356</v>
      </c>
      <c r="F914" s="23"/>
      <c r="G914" s="54">
        <f t="shared" si="174"/>
        <v>294.7</v>
      </c>
      <c r="H914" s="54">
        <f t="shared" si="174"/>
        <v>64.99999999999999</v>
      </c>
      <c r="I914" s="54">
        <f t="shared" si="174"/>
        <v>58.400000000000006</v>
      </c>
      <c r="J914" s="77">
        <f t="shared" si="171"/>
        <v>89.84615384615388</v>
      </c>
      <c r="K914" s="60"/>
      <c r="L914" s="59"/>
      <c r="M914" s="91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</row>
    <row r="915" spans="1:33" ht="25.5">
      <c r="A915" s="23" t="s">
        <v>1456</v>
      </c>
      <c r="B915" s="24" t="s">
        <v>269</v>
      </c>
      <c r="C915" s="23" t="s">
        <v>104</v>
      </c>
      <c r="D915" s="23" t="s">
        <v>251</v>
      </c>
      <c r="E915" s="23" t="s">
        <v>357</v>
      </c>
      <c r="F915" s="23"/>
      <c r="G915" s="54">
        <f t="shared" si="174"/>
        <v>294.7</v>
      </c>
      <c r="H915" s="54">
        <f t="shared" si="174"/>
        <v>64.99999999999999</v>
      </c>
      <c r="I915" s="54">
        <f t="shared" si="174"/>
        <v>58.400000000000006</v>
      </c>
      <c r="J915" s="77">
        <f t="shared" si="171"/>
        <v>89.84615384615388</v>
      </c>
      <c r="K915" s="60"/>
      <c r="L915" s="59"/>
      <c r="M915" s="91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</row>
    <row r="916" spans="1:33" ht="83.25" customHeight="1">
      <c r="A916" s="23" t="s">
        <v>1457</v>
      </c>
      <c r="B916" s="22" t="s">
        <v>488</v>
      </c>
      <c r="C916" s="23" t="s">
        <v>104</v>
      </c>
      <c r="D916" s="23" t="s">
        <v>251</v>
      </c>
      <c r="E916" s="23" t="s">
        <v>379</v>
      </c>
      <c r="F916" s="23"/>
      <c r="G916" s="54">
        <f>G917+G919</f>
        <v>294.7</v>
      </c>
      <c r="H916" s="54">
        <f>H917+H919</f>
        <v>64.99999999999999</v>
      </c>
      <c r="I916" s="54">
        <f>I917+I919</f>
        <v>58.400000000000006</v>
      </c>
      <c r="J916" s="77">
        <f t="shared" si="171"/>
        <v>89.84615384615388</v>
      </c>
      <c r="K916" s="60"/>
      <c r="L916" s="59"/>
      <c r="M916" s="91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>
        <v>294.7</v>
      </c>
      <c r="AD916" s="44"/>
      <c r="AE916" s="44"/>
      <c r="AF916" s="44"/>
      <c r="AG916" s="44"/>
    </row>
    <row r="917" spans="1:33" ht="31.5" customHeight="1">
      <c r="A917" s="23" t="s">
        <v>1458</v>
      </c>
      <c r="B917" s="22" t="s">
        <v>144</v>
      </c>
      <c r="C917" s="23" t="s">
        <v>104</v>
      </c>
      <c r="D917" s="23" t="s">
        <v>251</v>
      </c>
      <c r="E917" s="23" t="s">
        <v>379</v>
      </c>
      <c r="F917" s="23" t="s">
        <v>109</v>
      </c>
      <c r="G917" s="54">
        <f>G918</f>
        <v>5.8</v>
      </c>
      <c r="H917" s="54">
        <f>H918</f>
        <v>1.2999999999999998</v>
      </c>
      <c r="I917" s="54">
        <f>I918</f>
        <v>1.2</v>
      </c>
      <c r="J917" s="77">
        <f t="shared" si="171"/>
        <v>92.3076923076923</v>
      </c>
      <c r="K917" s="60"/>
      <c r="L917" s="59"/>
      <c r="M917" s="91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</row>
    <row r="918" spans="1:33" ht="31.5" customHeight="1">
      <c r="A918" s="23" t="s">
        <v>1459</v>
      </c>
      <c r="B918" s="22" t="s">
        <v>145</v>
      </c>
      <c r="C918" s="23" t="s">
        <v>104</v>
      </c>
      <c r="D918" s="23" t="s">
        <v>251</v>
      </c>
      <c r="E918" s="23" t="s">
        <v>379</v>
      </c>
      <c r="F918" s="23" t="s">
        <v>102</v>
      </c>
      <c r="G918" s="54">
        <v>5.8</v>
      </c>
      <c r="H918" s="54">
        <f>5.8-4.5</f>
        <v>1.2999999999999998</v>
      </c>
      <c r="I918" s="54">
        <v>1.2</v>
      </c>
      <c r="J918" s="77">
        <f t="shared" si="171"/>
        <v>92.3076923076923</v>
      </c>
      <c r="K918" s="60"/>
      <c r="L918" s="59"/>
      <c r="M918" s="91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>
        <v>-4.5</v>
      </c>
    </row>
    <row r="919" spans="1:33" ht="21" customHeight="1">
      <c r="A919" s="23" t="s">
        <v>1460</v>
      </c>
      <c r="B919" s="25" t="s">
        <v>87</v>
      </c>
      <c r="C919" s="23" t="s">
        <v>104</v>
      </c>
      <c r="D919" s="23" t="s">
        <v>251</v>
      </c>
      <c r="E919" s="23" t="s">
        <v>379</v>
      </c>
      <c r="F919" s="23" t="s">
        <v>88</v>
      </c>
      <c r="G919" s="54">
        <f>G920</f>
        <v>288.9</v>
      </c>
      <c r="H919" s="54">
        <f>H920</f>
        <v>63.69999999999999</v>
      </c>
      <c r="I919" s="54">
        <f>I920</f>
        <v>57.2</v>
      </c>
      <c r="J919" s="77">
        <f t="shared" si="171"/>
        <v>89.79591836734696</v>
      </c>
      <c r="K919" s="51" t="e">
        <f>SUM(K9+K112+K130+K145+K601+K620+#REF!)</f>
        <v>#REF!</v>
      </c>
      <c r="L919" s="51" t="e">
        <f>SUM(L9+L112+L130+L145+L601+L620+#REF!)</f>
        <v>#REF!</v>
      </c>
      <c r="M919" s="91">
        <f>SUM(M8:M918)</f>
        <v>22477.2</v>
      </c>
      <c r="N919" s="91">
        <f>SUM(N8:N918)</f>
        <v>2598.26</v>
      </c>
      <c r="O919" s="93"/>
      <c r="P919" s="94"/>
      <c r="Q919" s="44"/>
      <c r="R919" s="44"/>
      <c r="S919" s="44"/>
      <c r="T919" s="44">
        <f>SUM(T9+T112+T130+T145+T602+T620)</f>
        <v>165227.10000000003</v>
      </c>
      <c r="U919" s="44">
        <f>SUM(U9+U112+U130+U145+U602+U620)</f>
        <v>299558.89999999997</v>
      </c>
      <c r="V919" s="44"/>
      <c r="W919" s="44"/>
      <c r="X919" s="44">
        <f>SUM(X9+X112+X130+X145+X601+X620)</f>
        <v>6323.299999999999</v>
      </c>
      <c r="Y919" s="44">
        <f>SUM(Y9+Y112+Y130+Y145+Y601+Y620)</f>
        <v>21420.6</v>
      </c>
      <c r="Z919" s="44"/>
      <c r="AA919" s="44"/>
      <c r="AB919" s="44"/>
      <c r="AC919" s="44"/>
      <c r="AD919" s="44"/>
      <c r="AE919" s="44"/>
      <c r="AF919" s="44"/>
      <c r="AG919" s="44"/>
    </row>
    <row r="920" spans="1:33" ht="31.5" customHeight="1">
      <c r="A920" s="23" t="s">
        <v>1461</v>
      </c>
      <c r="B920" s="25" t="s">
        <v>248</v>
      </c>
      <c r="C920" s="23" t="s">
        <v>104</v>
      </c>
      <c r="D920" s="23" t="s">
        <v>251</v>
      </c>
      <c r="E920" s="23" t="s">
        <v>379</v>
      </c>
      <c r="F920" s="23" t="s">
        <v>249</v>
      </c>
      <c r="G920" s="58">
        <v>288.9</v>
      </c>
      <c r="H920" s="58">
        <f>288.9-225.2</f>
        <v>63.69999999999999</v>
      </c>
      <c r="I920" s="58">
        <v>57.2</v>
      </c>
      <c r="J920" s="77">
        <f t="shared" si="171"/>
        <v>89.79591836734696</v>
      </c>
      <c r="K920" s="43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>
        <v>-225.2</v>
      </c>
    </row>
    <row r="921" spans="1:34" ht="12.75">
      <c r="A921" s="23" t="s">
        <v>1462</v>
      </c>
      <c r="B921" s="42" t="s">
        <v>106</v>
      </c>
      <c r="C921" s="42"/>
      <c r="D921" s="76"/>
      <c r="E921" s="105"/>
      <c r="F921" s="31" t="s">
        <v>301</v>
      </c>
      <c r="G921" s="77">
        <f>G9+G112+G130+G145+G604+G623</f>
        <v>703309.3999999999</v>
      </c>
      <c r="H921" s="77">
        <f>H9+H112+H130+H145+H604+H623</f>
        <v>776591.9999999999</v>
      </c>
      <c r="I921" s="77">
        <f>I9+I112+I130+I145+I604+I623</f>
        <v>760132.7</v>
      </c>
      <c r="J921" s="77">
        <f t="shared" si="171"/>
        <v>97.88057306796878</v>
      </c>
      <c r="K921" s="77">
        <f aca="true" t="shared" si="175" ref="K921:AH921">K9+K112+K130+K145+K604+K623</f>
        <v>19207.3</v>
      </c>
      <c r="L921" s="77">
        <f t="shared" si="175"/>
        <v>165333.80000000002</v>
      </c>
      <c r="M921" s="77">
        <f t="shared" si="175"/>
        <v>0</v>
      </c>
      <c r="N921" s="77">
        <f t="shared" si="175"/>
        <v>0</v>
      </c>
      <c r="O921" s="77">
        <f t="shared" si="175"/>
        <v>0</v>
      </c>
      <c r="P921" s="77">
        <f t="shared" si="175"/>
        <v>0</v>
      </c>
      <c r="Q921" s="77">
        <f t="shared" si="175"/>
        <v>0</v>
      </c>
      <c r="R921" s="77">
        <f t="shared" si="175"/>
        <v>0</v>
      </c>
      <c r="S921" s="77">
        <f t="shared" si="175"/>
        <v>0</v>
      </c>
      <c r="T921" s="77">
        <f t="shared" si="175"/>
        <v>25968.7</v>
      </c>
      <c r="U921" s="77">
        <f t="shared" si="175"/>
        <v>227064.8</v>
      </c>
      <c r="V921" s="77">
        <f t="shared" si="175"/>
        <v>0</v>
      </c>
      <c r="W921" s="77">
        <f t="shared" si="175"/>
        <v>0</v>
      </c>
      <c r="X921" s="77">
        <f t="shared" si="175"/>
        <v>1977.0000000000002</v>
      </c>
      <c r="Y921" s="77">
        <f t="shared" si="175"/>
        <v>8745.2</v>
      </c>
      <c r="Z921" s="77">
        <f t="shared" si="175"/>
        <v>409057.5999999999</v>
      </c>
      <c r="AA921" s="77">
        <f t="shared" si="175"/>
        <v>199336.40000000002</v>
      </c>
      <c r="AB921" s="77">
        <f t="shared" si="175"/>
        <v>456638.8</v>
      </c>
      <c r="AC921" s="77">
        <f t="shared" si="175"/>
        <v>246610.60000000003</v>
      </c>
      <c r="AD921" s="77">
        <f t="shared" si="175"/>
        <v>29232</v>
      </c>
      <c r="AE921" s="77">
        <f t="shared" si="175"/>
        <v>15643.8</v>
      </c>
      <c r="AF921" s="77">
        <f t="shared" si="175"/>
        <v>0</v>
      </c>
      <c r="AG921" s="77">
        <f t="shared" si="175"/>
        <v>0</v>
      </c>
      <c r="AH921" s="77">
        <f t="shared" si="175"/>
        <v>0</v>
      </c>
    </row>
    <row r="922" spans="2:5" ht="12.75">
      <c r="B922" s="67"/>
      <c r="C922" s="68"/>
      <c r="D922" s="69"/>
      <c r="E922" s="68"/>
    </row>
    <row r="923" spans="2:5" ht="12.75">
      <c r="B923" s="67"/>
      <c r="C923" s="68"/>
      <c r="D923" s="70"/>
      <c r="E923" s="68"/>
    </row>
  </sheetData>
  <sheetProtection/>
  <mergeCells count="3">
    <mergeCell ref="A5:J5"/>
    <mergeCell ref="H2:L2"/>
    <mergeCell ref="A4:L4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4"/>
  <sheetViews>
    <sheetView zoomScalePageLayoutView="0" workbookViewId="0" topLeftCell="A1">
      <selection activeCell="C3" sqref="C3"/>
    </sheetView>
  </sheetViews>
  <sheetFormatPr defaultColWidth="9.00390625" defaultRowHeight="12.75"/>
  <cols>
    <col min="3" max="3" width="10.25390625" style="0" bestFit="1" customWidth="1"/>
    <col min="4" max="4" width="10.625" style="0" customWidth="1"/>
    <col min="5" max="5" width="11.375" style="0" customWidth="1"/>
  </cols>
  <sheetData>
    <row r="2" spans="2:6" ht="12.75">
      <c r="B2" s="19" t="s">
        <v>190</v>
      </c>
      <c r="C2" s="32">
        <f>SUM(Лист1!H147)</f>
        <v>2160.6</v>
      </c>
      <c r="D2" s="32">
        <f>SUM(Лист1!I147)</f>
        <v>2135.6</v>
      </c>
      <c r="E2" s="32">
        <f>SUM(Лист1!J147)</f>
        <v>98.84291400536888</v>
      </c>
      <c r="F2" s="113"/>
    </row>
    <row r="3" spans="2:5" ht="12.75">
      <c r="B3" s="19" t="s">
        <v>200</v>
      </c>
      <c r="C3" s="32">
        <f>SUM(Лист1!H114)</f>
        <v>2635.9</v>
      </c>
      <c r="D3" s="32">
        <f>SUM(Лист1!I114)</f>
        <v>2625.2</v>
      </c>
      <c r="E3" s="32">
        <f>SUM(Лист1!J114)</f>
        <v>99.59406654273681</v>
      </c>
    </row>
    <row r="4" spans="2:5" ht="12.75">
      <c r="B4" s="19" t="s">
        <v>221</v>
      </c>
      <c r="C4" s="32">
        <f>SUM(Лист1!H153+Лист1!H606)</f>
        <v>41766.5</v>
      </c>
      <c r="D4" s="32">
        <f>SUM(Лист1!I153)</f>
        <v>37602.4</v>
      </c>
      <c r="E4" s="32">
        <f>SUM(Лист1!J153)</f>
        <v>92.01277329842291</v>
      </c>
    </row>
    <row r="5" spans="2:5" ht="12.75">
      <c r="B5" s="19" t="s">
        <v>460</v>
      </c>
      <c r="C5" s="32">
        <f>SUM(Лист1!H178)</f>
        <v>0</v>
      </c>
      <c r="D5" s="32">
        <f>SUM(Лист1!I178)</f>
        <v>0</v>
      </c>
      <c r="E5" s="32">
        <f>SUM(Лист1!J178)</f>
        <v>0</v>
      </c>
    </row>
    <row r="6" spans="2:5" ht="12.75">
      <c r="B6" s="19" t="s">
        <v>178</v>
      </c>
      <c r="C6" s="32">
        <f>SUM(Лист1!H132+Лист1!H11)</f>
        <v>12953.600000000002</v>
      </c>
      <c r="D6" s="32">
        <f>SUM(Лист1!I132+Лист1!I11)</f>
        <v>12933.400000000003</v>
      </c>
      <c r="E6" s="32">
        <f>SUM(Лист1!J132+Лист1!J11)</f>
        <v>199.3232066388943</v>
      </c>
    </row>
    <row r="7" spans="2:5" ht="12.75">
      <c r="B7" s="19" t="s">
        <v>577</v>
      </c>
      <c r="C7" s="32">
        <v>0</v>
      </c>
      <c r="D7" s="32">
        <v>0</v>
      </c>
      <c r="E7" s="32">
        <v>0</v>
      </c>
    </row>
    <row r="8" spans="2:5" ht="12.75">
      <c r="B8" s="19" t="s">
        <v>225</v>
      </c>
      <c r="C8" s="32">
        <f>SUM(Лист1!H184)</f>
        <v>0</v>
      </c>
      <c r="D8" s="32">
        <f>SUM(Лист1!I184)</f>
        <v>0</v>
      </c>
      <c r="E8" s="32">
        <f>SUM(Лист1!J184)</f>
        <v>0</v>
      </c>
    </row>
    <row r="9" spans="2:5" ht="12.75">
      <c r="B9" s="19" t="s">
        <v>212</v>
      </c>
      <c r="C9" s="32">
        <f>SUM(Лист1!H190+Лист1!H24+Лист1!H625)</f>
        <v>32547.599999999995</v>
      </c>
      <c r="D9" s="32">
        <f>SUM(Лист1!I190+Лист1!I24+Лист1!I625)</f>
        <v>32402.6</v>
      </c>
      <c r="E9" s="32">
        <f>SUM(Лист1!J190+Лист1!J24+Лист1!J625)</f>
        <v>299.5532247926347</v>
      </c>
    </row>
    <row r="10" spans="2:5" ht="12.75">
      <c r="B10" s="19" t="s">
        <v>243</v>
      </c>
      <c r="C10" s="32">
        <f>SUM(Лист1!H31)</f>
        <v>1241.8</v>
      </c>
      <c r="D10" s="32">
        <f>SUM(Лист1!I31)</f>
        <v>1148.5</v>
      </c>
      <c r="E10" s="32">
        <f>SUM(Лист1!J31)</f>
        <v>92.48671283620551</v>
      </c>
    </row>
    <row r="11" spans="2:5" ht="12.75">
      <c r="B11" s="19" t="s">
        <v>277</v>
      </c>
      <c r="C11" s="32">
        <f>SUM(Лист1!H256)</f>
        <v>5920.2</v>
      </c>
      <c r="D11" s="32">
        <f>SUM(Лист1!I256)</f>
        <v>5876.2</v>
      </c>
      <c r="E11" s="32">
        <f>SUM(Лист1!J256)</f>
        <v>99.25678186547752</v>
      </c>
    </row>
    <row r="12" spans="2:5" ht="12.75">
      <c r="B12" s="19" t="s">
        <v>550</v>
      </c>
      <c r="C12" s="32">
        <f>SUM(Лист1!H38)</f>
        <v>1239.5</v>
      </c>
      <c r="D12" s="32">
        <v>0</v>
      </c>
      <c r="E12" s="32">
        <v>0</v>
      </c>
    </row>
    <row r="13" spans="2:5" ht="12.75">
      <c r="B13" s="19" t="s">
        <v>278</v>
      </c>
      <c r="C13" s="32">
        <f>SUM(Лист1!H291)</f>
        <v>80</v>
      </c>
      <c r="D13" s="32">
        <f>SUM(Лист1!I291)</f>
        <v>80</v>
      </c>
      <c r="E13" s="32">
        <f>SUM(Лист1!J291)</f>
        <v>100</v>
      </c>
    </row>
    <row r="14" spans="2:5" ht="12.75">
      <c r="B14" s="19" t="s">
        <v>97</v>
      </c>
      <c r="C14" s="32">
        <f>SUM(Лист1!H308)</f>
        <v>2717.4999999999995</v>
      </c>
      <c r="D14" s="32">
        <f>SUM(Лист1!I308)</f>
        <v>2717.5</v>
      </c>
      <c r="E14" s="32">
        <f>SUM(Лист1!J308)</f>
        <v>100.00000000000003</v>
      </c>
    </row>
    <row r="15" spans="2:5" ht="12.75">
      <c r="B15" s="19" t="s">
        <v>261</v>
      </c>
      <c r="C15" s="32">
        <f>SUM(Лист1!H316)</f>
        <v>30698</v>
      </c>
      <c r="D15" s="32">
        <f>SUM(Лист1!I316)</f>
        <v>30029.1</v>
      </c>
      <c r="E15" s="32">
        <f>SUM(Лист1!J316)</f>
        <v>97.82103068603817</v>
      </c>
    </row>
    <row r="16" spans="2:5" ht="12.75">
      <c r="B16" s="19" t="s">
        <v>552</v>
      </c>
      <c r="C16" s="32">
        <f>SUM(Лист1!H45)</f>
        <v>2117.8</v>
      </c>
      <c r="D16" s="32">
        <f>SUM(Лист1!I45)</f>
        <v>2117.8</v>
      </c>
      <c r="E16" s="32">
        <f>SUM(Лист1!J45)</f>
        <v>100</v>
      </c>
    </row>
    <row r="17" spans="2:5" ht="12.75">
      <c r="B17" s="19" t="s">
        <v>635</v>
      </c>
      <c r="C17" s="32">
        <f>SUM(Лист1!H322)</f>
        <v>213.20000000000002</v>
      </c>
      <c r="D17" s="32">
        <v>0</v>
      </c>
      <c r="E17" s="32">
        <v>0</v>
      </c>
    </row>
    <row r="18" spans="2:5" ht="12.75">
      <c r="B18" s="19" t="s">
        <v>264</v>
      </c>
      <c r="C18" s="32">
        <f>SUM(Лист1!H331)</f>
        <v>1654.8</v>
      </c>
      <c r="D18" s="32">
        <f>SUM(Лист1!I331)</f>
        <v>1653.5</v>
      </c>
      <c r="E18" s="32">
        <f>SUM(Лист1!J331)</f>
        <v>99.92144065748127</v>
      </c>
    </row>
    <row r="19" spans="2:5" ht="12.75">
      <c r="B19" s="19" t="s">
        <v>285</v>
      </c>
      <c r="C19" s="32">
        <f>SUM(Лист1!H365+Лист1!H52)</f>
        <v>3893.8</v>
      </c>
      <c r="D19" s="32">
        <f>SUM(Лист1!I365)</f>
        <v>1030.6</v>
      </c>
      <c r="E19" s="32">
        <f>SUM(Лист1!J365)</f>
        <v>92.2484783387039</v>
      </c>
    </row>
    <row r="20" spans="2:5" ht="12.75">
      <c r="B20" s="19" t="s">
        <v>646</v>
      </c>
      <c r="C20" s="32">
        <f>SUM(Лист1!H58)</f>
        <v>2076.3</v>
      </c>
      <c r="D20" s="32">
        <v>0</v>
      </c>
      <c r="E20" s="32">
        <v>0</v>
      </c>
    </row>
    <row r="21" spans="2:5" ht="12.75">
      <c r="B21" s="19" t="s">
        <v>252</v>
      </c>
      <c r="C21" s="32">
        <f>SUM(Лист1!H70+Лист1!H378+Лист1!H613)</f>
        <v>104376.09999999999</v>
      </c>
      <c r="D21" s="32">
        <f>SUM(Лист1!I70+Лист1!I378+Лист1!I613)</f>
        <v>104218.5</v>
      </c>
      <c r="E21" s="32">
        <f>SUM(Лист1!J70+Лист1!J378+Лист1!J613)</f>
        <v>297.59549613437076</v>
      </c>
    </row>
    <row r="22" spans="2:5" ht="12.75">
      <c r="B22" s="19" t="s">
        <v>633</v>
      </c>
      <c r="C22" s="32">
        <f>SUM(Лист1!H402)</f>
        <v>406.5</v>
      </c>
      <c r="D22" s="32">
        <f>SUM(Лист1!I402)</f>
        <v>392.4</v>
      </c>
      <c r="E22" s="32">
        <f>SUM(Лист1!J402)</f>
        <v>96.53136531365313</v>
      </c>
    </row>
    <row r="23" spans="2:5" ht="12.75">
      <c r="B23" s="19" t="s">
        <v>821</v>
      </c>
      <c r="C23" s="32">
        <f>SUM(Лист1!H408)</f>
        <v>4671.3</v>
      </c>
      <c r="D23" s="32">
        <f>SUM(Лист1!I408)</f>
        <v>121.3</v>
      </c>
      <c r="E23" s="32">
        <f>SUM(Лист1!J408)</f>
        <v>2.5967075546421765</v>
      </c>
    </row>
    <row r="24" spans="2:5" ht="12.75">
      <c r="B24" s="19" t="s">
        <v>272</v>
      </c>
      <c r="C24" s="32">
        <f>SUM(Лист1!H634)</f>
        <v>68930.9</v>
      </c>
      <c r="D24" s="32">
        <f>SUM(Лист1!I634)</f>
        <v>68836.5</v>
      </c>
      <c r="E24" s="32">
        <f>SUM(Лист1!J634)</f>
        <v>99.86305125857925</v>
      </c>
    </row>
    <row r="25" spans="2:5" ht="12.75">
      <c r="B25" s="19" t="s">
        <v>456</v>
      </c>
      <c r="C25" s="32">
        <f>SUM(Лист1!H423+Лист1!H762)</f>
        <v>32973.4</v>
      </c>
      <c r="D25" s="32">
        <f>SUM(Лист1!I423+Лист1!I762)</f>
        <v>32911.3</v>
      </c>
      <c r="E25" s="32">
        <f>SUM(Лист1!J423+Лист1!J762)</f>
        <v>199.70056992969904</v>
      </c>
    </row>
    <row r="26" spans="2:5" ht="12.75">
      <c r="B26" s="19" t="s">
        <v>283</v>
      </c>
      <c r="C26" s="32">
        <f>SUM(Лист1!H676)</f>
        <v>214107.69999999998</v>
      </c>
      <c r="D26" s="32">
        <f>SUM(Лист1!I676)</f>
        <v>213687.6</v>
      </c>
      <c r="E26" s="32">
        <f>SUM(Лист1!J676)</f>
        <v>99.80379033542465</v>
      </c>
    </row>
    <row r="27" spans="2:5" ht="12.75">
      <c r="B27" s="19" t="s">
        <v>78</v>
      </c>
      <c r="C27" s="32">
        <f>SUM(Лист1!H432+Лист1!H792)</f>
        <v>8905.900000000001</v>
      </c>
      <c r="D27" s="32">
        <f>SUM(Лист1!I432+Лист1!I792)</f>
        <v>8905.900000000001</v>
      </c>
      <c r="E27" s="32">
        <f>SUM(Лист1!J432+Лист1!J792)</f>
        <v>200</v>
      </c>
    </row>
    <row r="28" spans="2:5" ht="12.75">
      <c r="B28" s="19" t="s">
        <v>79</v>
      </c>
      <c r="C28" s="32">
        <f>SUM(Лист1!H810)</f>
        <v>17877.300000000003</v>
      </c>
      <c r="D28" s="32">
        <f>SUM(Лист1!I810)</f>
        <v>17757</v>
      </c>
      <c r="E28" s="32">
        <f>SUM(Лист1!J810)</f>
        <v>99.32707959255592</v>
      </c>
    </row>
    <row r="29" spans="2:5" ht="12.75">
      <c r="B29" s="19" t="s">
        <v>73</v>
      </c>
      <c r="C29" s="32">
        <f>SUM(Лист1!H461)</f>
        <v>76140.6</v>
      </c>
      <c r="D29" s="32">
        <f>SUM(Лист1!I461)</f>
        <v>76140.6</v>
      </c>
      <c r="E29" s="32">
        <f>SUM(Лист1!J461)</f>
        <v>100</v>
      </c>
    </row>
    <row r="30" spans="2:5" ht="12.75">
      <c r="B30" s="19" t="s">
        <v>557</v>
      </c>
      <c r="C30" s="32">
        <f>SUM(Лист1!H520)</f>
        <v>2388.9</v>
      </c>
      <c r="D30" s="32">
        <f>SUM(Лист1!I520)</f>
        <v>2388.9</v>
      </c>
      <c r="E30" s="32">
        <f>SUM(Лист1!J520)</f>
        <v>100</v>
      </c>
    </row>
    <row r="31" spans="2:5" ht="12.75">
      <c r="B31" s="19" t="s">
        <v>83</v>
      </c>
      <c r="C31" s="32">
        <f>SUM(Лист1!H77)</f>
        <v>152.1</v>
      </c>
      <c r="D31" s="32">
        <v>0</v>
      </c>
      <c r="E31" s="32">
        <v>0</v>
      </c>
    </row>
    <row r="32" spans="2:5" ht="12.75">
      <c r="B32" s="19" t="s">
        <v>86</v>
      </c>
      <c r="C32" s="32">
        <f>SUM(Лист1!H536)</f>
        <v>1557</v>
      </c>
      <c r="D32" s="32">
        <f>SUM(Лист1!I536)</f>
        <v>1346.1</v>
      </c>
      <c r="E32" s="32">
        <f>SUM(Лист1!J536)</f>
        <v>86.45472061657033</v>
      </c>
    </row>
    <row r="33" spans="2:5" ht="12.75">
      <c r="B33" s="19" t="s">
        <v>247</v>
      </c>
      <c r="C33" s="32">
        <f>SUM(Лист1!H542+Лист1!H893)</f>
        <v>21303.300000000003</v>
      </c>
      <c r="D33" s="32">
        <f>SUM(Лист1!I542+Лист1!I893)</f>
        <v>18312.9</v>
      </c>
      <c r="E33" s="32">
        <f>SUM(Лист1!J542+Лист1!J893)</f>
        <v>174.1587943367233</v>
      </c>
    </row>
    <row r="34" spans="2:5" ht="12.75">
      <c r="B34" s="19" t="s">
        <v>251</v>
      </c>
      <c r="C34" s="32">
        <f>SUM(Лист1!H913)</f>
        <v>64.99999999999999</v>
      </c>
      <c r="D34" s="32">
        <f>SUM(Лист1!I913)</f>
        <v>58.400000000000006</v>
      </c>
      <c r="E34" s="32">
        <f>SUM(Лист1!J913)</f>
        <v>89.84615384615388</v>
      </c>
    </row>
    <row r="35" spans="2:5" ht="12.75">
      <c r="B35" s="19" t="s">
        <v>107</v>
      </c>
      <c r="C35" s="32">
        <f>SUM(Лист1!H563)</f>
        <v>1030.9</v>
      </c>
      <c r="D35" s="32">
        <f>SUM(Лист1!I563)</f>
        <v>1027.3</v>
      </c>
      <c r="E35" s="32">
        <f>SUM(Лист1!J563)</f>
        <v>99.65079057134541</v>
      </c>
    </row>
    <row r="36" spans="2:5" ht="12.75">
      <c r="B36" s="19" t="s">
        <v>208</v>
      </c>
      <c r="C36" s="32">
        <f>SUM(Лист1!H581)</f>
        <v>8387.2</v>
      </c>
      <c r="D36" s="32">
        <f>SUM(Лист1!I581)</f>
        <v>7751.5</v>
      </c>
      <c r="E36" s="32">
        <f>SUM(Лист1!J581)</f>
        <v>92.42059328500571</v>
      </c>
    </row>
    <row r="37" spans="2:5" ht="12.75">
      <c r="B37" s="19" t="s">
        <v>172</v>
      </c>
      <c r="C37" s="32" t="e">
        <f>SUM(Лист1!#REF!)</f>
        <v>#REF!</v>
      </c>
      <c r="D37" s="32" t="e">
        <f>SUM(Лист1!#REF!)</f>
        <v>#REF!</v>
      </c>
      <c r="E37" s="32" t="e">
        <f>SUM(Лист1!#REF!)</f>
        <v>#REF!</v>
      </c>
    </row>
    <row r="38" spans="2:5" ht="12.75">
      <c r="B38" s="19" t="s">
        <v>167</v>
      </c>
      <c r="C38" s="32">
        <f>SUM(Лист1!H84)</f>
        <v>60366.9</v>
      </c>
      <c r="D38" s="32">
        <f>SUM(Лист1!I84)</f>
        <v>57615.8</v>
      </c>
      <c r="E38" s="32">
        <f>SUM(Лист1!J84)</f>
        <v>95.44270121540116</v>
      </c>
    </row>
    <row r="39" spans="2:5" ht="12.75">
      <c r="B39" s="19" t="s">
        <v>574</v>
      </c>
      <c r="C39" s="32">
        <f>SUM(Лист1!H93)</f>
        <v>4608.7</v>
      </c>
      <c r="D39" s="32">
        <f>SUM(Лист1!I93)</f>
        <v>4608.7</v>
      </c>
      <c r="E39" s="32">
        <f>SUM(Лист1!J93)</f>
        <v>100</v>
      </c>
    </row>
    <row r="40" spans="2:5" ht="12.75">
      <c r="B40" s="19" t="s">
        <v>813</v>
      </c>
      <c r="C40" s="32">
        <f>SUM(Лист1!H102)</f>
        <v>4425.2</v>
      </c>
      <c r="D40" s="32">
        <v>0</v>
      </c>
      <c r="E40" s="32">
        <v>0</v>
      </c>
    </row>
    <row r="41" spans="2:5" ht="38.25">
      <c r="B41" s="21" t="s">
        <v>403</v>
      </c>
      <c r="C41" s="32">
        <v>0</v>
      </c>
      <c r="D41" s="32" t="e">
        <f>SUM(Лист1!#REF!)</f>
        <v>#REF!</v>
      </c>
      <c r="E41" s="32" t="e">
        <f>SUM(Лист1!#REF!)</f>
        <v>#REF!</v>
      </c>
    </row>
    <row r="42" spans="2:5" ht="12.75">
      <c r="B42" s="18"/>
      <c r="C42" s="20" t="e">
        <f>SUM(C2:C41)</f>
        <v>#REF!</v>
      </c>
      <c r="D42" s="20" t="e">
        <f>SUM(D2:D41)</f>
        <v>#REF!</v>
      </c>
      <c r="E42" s="20" t="e">
        <f>SUM(E2:E41)</f>
        <v>#REF!</v>
      </c>
    </row>
    <row r="43" spans="2:5" ht="12.75">
      <c r="B43" s="18"/>
      <c r="C43" s="18"/>
      <c r="D43" s="18"/>
      <c r="E43" s="18"/>
    </row>
    <row r="44" spans="2:5" ht="12.75">
      <c r="B44" s="18"/>
      <c r="C44" s="18"/>
      <c r="D44" s="18"/>
      <c r="E44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2023-12-04T08:31:22Z</cp:lastPrinted>
  <dcterms:created xsi:type="dcterms:W3CDTF">2007-10-11T12:08:51Z</dcterms:created>
  <dcterms:modified xsi:type="dcterms:W3CDTF">2024-06-24T05:08:27Z</dcterms:modified>
  <cp:category/>
  <cp:version/>
  <cp:contentType/>
  <cp:contentStatus/>
</cp:coreProperties>
</file>